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532" windowHeight="10644" tabRatio="916" activeTab="0"/>
  </bookViews>
  <sheets>
    <sheet name="Rekapitulace stavby" sheetId="1" r:id="rId1"/>
    <sheet name="SO 001 - Vedlejší rozpočt..." sheetId="2" r:id="rId2"/>
    <sheet name="SO 100 - Komunikace a par..." sheetId="3" r:id="rId3"/>
    <sheet name="SO 110 - Chodníky" sheetId="4" r:id="rId4"/>
    <sheet name="SO 200 - Opěrná stěna" sheetId="5" r:id="rId5"/>
    <sheet name="SO 300 - Kanalizace dešťová" sheetId="6" r:id="rId6"/>
    <sheet name="SO 400.3 - Přeložka sdělo..." sheetId="7" r:id="rId7"/>
    <sheet name="SO 400.4 - Přeložka sdělo..." sheetId="8" r:id="rId8"/>
    <sheet name="SO 600 VO - Kryci list" sheetId="15" r:id="rId9"/>
    <sheet name="SO 600 VO - rozpočet - součet" sheetId="16" r:id="rId10"/>
    <sheet name="SO 600 VO - rozpočet" sheetId="17" r:id="rId11"/>
    <sheet name="SO 800 - Sadové úpravy" sheetId="18" r:id="rId12"/>
    <sheet name="SO 800-Sadové úpravy-nasl.pece" sheetId="19" r:id="rId13"/>
    <sheet name="SO 900, 901 - Podzemní ko..." sheetId="12" r:id="rId14"/>
    <sheet name="Seznam figur" sheetId="13" r:id="rId15"/>
    <sheet name="Pokyny pro vyplnění" sheetId="14" r:id="rId16"/>
  </sheets>
  <definedNames>
    <definedName name="__BPK1">#REF!</definedName>
    <definedName name="__BPK2">#REF!</definedName>
    <definedName name="__BPK3">#REF!</definedName>
    <definedName name="_BPK1">#REF!</definedName>
    <definedName name="_BPK2">#REF!</definedName>
    <definedName name="_BPK3">#REF!</definedName>
    <definedName name="_xlnm._FilterDatabase" localSheetId="1" hidden="1">'SO 001 - Vedlejší rozpočt...'!$C$83:$K$123</definedName>
    <definedName name="_xlnm._FilterDatabase" localSheetId="2" hidden="1">'SO 100 - Komunikace a par...'!$C$89:$K$547</definedName>
    <definedName name="_xlnm._FilterDatabase" localSheetId="3" hidden="1">'SO 110 - Chodníky'!$C$87:$K$315</definedName>
    <definedName name="_xlnm._FilterDatabase" localSheetId="4" hidden="1">'SO 200 - Opěrná stěna'!$C$88:$K$157</definedName>
    <definedName name="_xlnm._FilterDatabase" localSheetId="5" hidden="1">'SO 300 - Kanalizace dešťová'!$C$85:$K$339</definedName>
    <definedName name="_xlnm._FilterDatabase" localSheetId="6" hidden="1">'SO 400.3 - Přeložka sdělo...'!$C$81:$K$115</definedName>
    <definedName name="_xlnm._FilterDatabase" localSheetId="7" hidden="1">'SO 400.4 - Přeložka sdělo...'!$C$82:$K$116</definedName>
    <definedName name="_xlnm._FilterDatabase" localSheetId="13" hidden="1">'SO 900, 901 - Podzemní ko...'!$C$81:$K$129</definedName>
    <definedName name="cisloobjektu" localSheetId="12">#REF!</definedName>
    <definedName name="cisloobjektu">#REF!</definedName>
    <definedName name="cislostavby" localSheetId="12">#REF!</definedName>
    <definedName name="cislostavby">#REF!</definedName>
    <definedName name="Datum" localSheetId="12">#REF!</definedName>
    <definedName name="Datum">#REF!</definedName>
    <definedName name="Dil" localSheetId="12">#REF!</definedName>
    <definedName name="Dil">#REF!</definedName>
    <definedName name="Dodavka" localSheetId="12">#REF!</definedName>
    <definedName name="Dodavka">#REF!</definedName>
    <definedName name="Dodavka0" localSheetId="12">#REF!</definedName>
    <definedName name="Dodavka0">#REF!</definedName>
    <definedName name="HSV" localSheetId="12">#REF!</definedName>
    <definedName name="HSV">#REF!</definedName>
    <definedName name="HSV0" localSheetId="12">#REF!</definedName>
    <definedName name="HSV0">#REF!</definedName>
    <definedName name="HZS" localSheetId="12">#REF!</definedName>
    <definedName name="HZS">#REF!</definedName>
    <definedName name="HZS0" localSheetId="12">#REF!</definedName>
    <definedName name="HZS0">#REF!</definedName>
    <definedName name="JKSO" localSheetId="12">#REF!</definedName>
    <definedName name="JKSO">#REF!</definedName>
    <definedName name="MJ" localSheetId="12">#REF!</definedName>
    <definedName name="MJ">#REF!</definedName>
    <definedName name="Mont" localSheetId="12">#REF!</definedName>
    <definedName name="Mont">#REF!</definedName>
    <definedName name="Montaz0" localSheetId="12">#REF!</definedName>
    <definedName name="Montaz0">#REF!</definedName>
    <definedName name="NazevDilu" localSheetId="12">#REF!</definedName>
    <definedName name="NazevDilu">#REF!</definedName>
    <definedName name="nazevobjektu" localSheetId="12">#REF!</definedName>
    <definedName name="nazevobjektu">#REF!</definedName>
    <definedName name="nazevstavby" localSheetId="12">#REF!</definedName>
    <definedName name="nazevstavby">#REF!</definedName>
    <definedName name="Objednatel" localSheetId="12">#REF!</definedName>
    <definedName name="Objednatel">#REF!</definedName>
    <definedName name="_xlnm.Print_Area" localSheetId="1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Area" localSheetId="14">'Seznam figur'!$C$4:$G$134</definedName>
    <definedName name="_xlnm.Print_Area" localSheetId="1">'SO 001 - Vedlejší rozpočt...'!$C$4:$J$39,'SO 001 - Vedlejší rozpočt...'!$C$45:$J$65,'SO 001 - Vedlejší rozpočt...'!$C$71:$K$123</definedName>
    <definedName name="_xlnm.Print_Area" localSheetId="2">'SO 100 - Komunikace a par...'!$C$4:$J$39,'SO 100 - Komunikace a par...'!$C$45:$J$71,'SO 100 - Komunikace a par...'!$C$77:$K$547</definedName>
    <definedName name="_xlnm.Print_Area" localSheetId="3">'SO 110 - Chodníky'!$C$4:$J$39,'SO 110 - Chodníky'!$C$45:$J$69,'SO 110 - Chodníky'!$C$75:$K$315</definedName>
    <definedName name="_xlnm.Print_Area" localSheetId="4">'SO 200 - Opěrná stěna'!$C$4:$J$39,'SO 200 - Opěrná stěna'!$C$45:$J$70,'SO 200 - Opěrná stěna'!$C$76:$K$157</definedName>
    <definedName name="_xlnm.Print_Area" localSheetId="5">'SO 300 - Kanalizace dešťová'!$C$4:$J$39,'SO 300 - Kanalizace dešťová'!$C$45:$J$67,'SO 300 - Kanalizace dešťová'!$C$73:$K$339</definedName>
    <definedName name="_xlnm.Print_Area" localSheetId="6">'SO 400.3 - Přeložka sdělo...'!$C$4:$J$39,'SO 400.3 - Přeložka sdělo...'!$C$45:$J$63,'SO 400.3 - Přeložka sdělo...'!$C$69:$K$115</definedName>
    <definedName name="_xlnm.Print_Area" localSheetId="7">'SO 400.4 - Přeložka sdělo...'!$C$4:$J$39,'SO 400.4 - Přeložka sdělo...'!$C$45:$J$64,'SO 400.4 - Přeložka sdělo...'!$C$70:$K$116</definedName>
    <definedName name="_xlnm.Print_Area" localSheetId="11">'SO 800 - Sadové úpravy'!$A$1:$H$196</definedName>
    <definedName name="_xlnm.Print_Area" localSheetId="12">'SO 800-Sadové úpravy-nasl.pece'!$A$1:$H$62</definedName>
    <definedName name="_xlnm.Print_Area" localSheetId="13">'SO 900, 901 - Podzemní ko...'!$C$4:$J$39,'SO 900, 901 - Podzemní ko...'!$C$45:$J$63,'SO 900, 901 - Podzemní ko...'!$C$69:$K$129</definedName>
    <definedName name="PocetMJ" localSheetId="12">#REF!</definedName>
    <definedName name="PocetMJ">#REF!</definedName>
    <definedName name="Poznamka" localSheetId="12">#REF!</definedName>
    <definedName name="Poznamka">#REF!</definedName>
    <definedName name="Projektant" localSheetId="12">#REF!</definedName>
    <definedName name="Projektant">#REF!</definedName>
    <definedName name="PSV" localSheetId="12">#REF!</definedName>
    <definedName name="PSV">#REF!</definedName>
    <definedName name="PSV0" localSheetId="12">#REF!</definedName>
    <definedName name="PSV0">#REF!</definedName>
    <definedName name="SazbaDPH1" localSheetId="12">#REF!</definedName>
    <definedName name="SazbaDPH1">#REF!</definedName>
    <definedName name="SazbaDPH2" localSheetId="12">#REF!</definedName>
    <definedName name="SazbaDPH2">#REF!</definedName>
    <definedName name="SloupecCC" localSheetId="12">'SO 800-Sadové úpravy-nasl.pece'!$G$14</definedName>
    <definedName name="SloupecCC">'SO 800 - Sadové úpravy'!$G$14</definedName>
    <definedName name="SloupecCisloPol" localSheetId="12">'SO 800-Sadové úpravy-nasl.pece'!$B$14</definedName>
    <definedName name="SloupecCisloPol">'SO 800 - Sadové úpravy'!$B$14</definedName>
    <definedName name="SloupecJC" localSheetId="12">'SO 800-Sadové úpravy-nasl.pece'!$F$14</definedName>
    <definedName name="SloupecJC">'SO 800 - Sadové úpravy'!$F$14</definedName>
    <definedName name="SloupecMJ" localSheetId="12">'SO 800-Sadové úpravy-nasl.pece'!$D$14</definedName>
    <definedName name="SloupecMJ">'SO 800 - Sadové úpravy'!$D$14</definedName>
    <definedName name="SloupecMnozstvi" localSheetId="12">'SO 800-Sadové úpravy-nasl.pece'!$E$14</definedName>
    <definedName name="SloupecMnozstvi">'SO 800 - Sadové úpravy'!$E$14</definedName>
    <definedName name="SloupecNazPol" localSheetId="12">'SO 800-Sadové úpravy-nasl.pece'!$C$14</definedName>
    <definedName name="SloupecNazPol">'SO 800 - Sadové úpravy'!$C$14</definedName>
    <definedName name="SloupecPC" localSheetId="12">'SO 800-Sadové úpravy-nasl.pece'!$A$14</definedName>
    <definedName name="SloupecPC">'SO 800 - Sadové úpravy'!$A$14</definedName>
    <definedName name="solver_lin" localSheetId="11" hidden="1">0</definedName>
    <definedName name="solver_lin" localSheetId="12" hidden="1">0</definedName>
    <definedName name="solver_num" localSheetId="11" hidden="1">0</definedName>
    <definedName name="solver_num" localSheetId="12" hidden="1">0</definedName>
    <definedName name="solver_opt" localSheetId="11" hidden="1">#REF!</definedName>
    <definedName name="solver_opt" localSheetId="12" hidden="1">#REF!</definedName>
    <definedName name="solver_typ" localSheetId="11" hidden="1">1</definedName>
    <definedName name="solver_typ" localSheetId="12" hidden="1">1</definedName>
    <definedName name="solver_val" localSheetId="11" hidden="1">0</definedName>
    <definedName name="solver_val" localSheetId="12" hidden="1">0</definedName>
    <definedName name="Typ" localSheetId="12">#REF!</definedName>
    <definedName name="Typ">#REF!</definedName>
    <definedName name="VRN" localSheetId="12">#REF!</definedName>
    <definedName name="VRN">#REF!</definedName>
    <definedName name="VRNKc" localSheetId="12">#REF!</definedName>
    <definedName name="VRNKc">#REF!</definedName>
    <definedName name="VRNnazev" localSheetId="12">#REF!</definedName>
    <definedName name="VRNnazev">#REF!</definedName>
    <definedName name="VRNproc" localSheetId="12">#REF!</definedName>
    <definedName name="VRNproc">#REF!</definedName>
    <definedName name="VRNzakl" localSheetId="12">#REF!</definedName>
    <definedName name="VRNzakl">#REF!</definedName>
    <definedName name="Zakazka" localSheetId="12">#REF!</definedName>
    <definedName name="Zakazka">#REF!</definedName>
    <definedName name="Zaklad22" localSheetId="12">#REF!</definedName>
    <definedName name="Zaklad22">#REF!</definedName>
    <definedName name="Zaklad5" localSheetId="12">#REF!</definedName>
    <definedName name="Zaklad5">#REF!</definedName>
    <definedName name="Zhotovitel" localSheetId="12">#REF!</definedName>
    <definedName name="Zhotovitel">#REF!</definedName>
    <definedName name="_xlnm.Print_Titles" localSheetId="0">'Rekapitulace stavby'!$52:$52</definedName>
    <definedName name="_xlnm.Print_Titles" localSheetId="1">'SO 001 - Vedlejší rozpočt...'!$83:$83</definedName>
    <definedName name="_xlnm.Print_Titles" localSheetId="2">'SO 100 - Komunikace a par...'!$89:$89</definedName>
    <definedName name="_xlnm.Print_Titles" localSheetId="3">'SO 110 - Chodníky'!$87:$87</definedName>
    <definedName name="_xlnm.Print_Titles" localSheetId="4">'SO 200 - Opěrná stěna'!$88:$88</definedName>
    <definedName name="_xlnm.Print_Titles" localSheetId="5">'SO 300 - Kanalizace dešťová'!$85:$85</definedName>
    <definedName name="_xlnm.Print_Titles" localSheetId="6">'SO 400.3 - Přeložka sdělo...'!$81:$81</definedName>
    <definedName name="_xlnm.Print_Titles" localSheetId="7">'SO 400.4 - Přeložka sdělo...'!$82:$82</definedName>
    <definedName name="_xlnm.Print_Titles" localSheetId="11">'SO 800 - Sadové úpravy'!$1:$14</definedName>
    <definedName name="_xlnm.Print_Titles" localSheetId="12">'SO 800-Sadové úpravy-nasl.pece'!$1:$14</definedName>
    <definedName name="_xlnm.Print_Titles" localSheetId="14">'Seznam figur'!$9:$9</definedName>
  </definedNames>
  <calcPr calcId="191029"/>
  <extLst/>
</workbook>
</file>

<file path=xl/sharedStrings.xml><?xml version="1.0" encoding="utf-8"?>
<sst xmlns="http://schemas.openxmlformats.org/spreadsheetml/2006/main" count="14288" uniqueCount="2466">
  <si>
    <t>Export Komplet</t>
  </si>
  <si>
    <t>VZ</t>
  </si>
  <si>
    <t>2.0</t>
  </si>
  <si>
    <t>ZAMOK</t>
  </si>
  <si>
    <t>False</t>
  </si>
  <si>
    <t>{b40a6def-5f49-4683-b2e7-f391f755e291}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</si>
  <si>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</si>
  <si>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</si>
  <si>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</si>
  <si>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</si>
  <si>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</si>
  <si>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</si>
  <si>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</si>
  <si>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</si>
  <si>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012022010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</si>
  <si>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</si>
  <si>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</si>
  <si>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REGENERACE PANELOVÉHO SÍDLIŠTĚ PRIEVIDZSKÁ - 7.ETAPA</t>
  </si>
  <si>
    <t>KSO:</t>
  </si>
  <si>
    <t/>
  </si>
  <si>
    <t>CC-CZ:</t>
  </si>
  <si>
    <t>Místo:</t>
  </si>
  <si>
    <t>Šumperk</t>
  </si>
  <si>
    <t>Datum:</t>
  </si>
  <si>
    <t>22. 10. 2022</t>
  </si>
  <si>
    <t>Zadavatel:</t>
  </si>
  <si>
    <t>IČ:</t>
  </si>
  <si>
    <t>00303461</t>
  </si>
  <si>
    <t>Město Šumperk</t>
  </si>
  <si>
    <t>DIČ:</t>
  </si>
  <si>
    <t>CZ00303461</t>
  </si>
  <si>
    <t>Uchazeč:</t>
  </si>
  <si>
    <t>Vyplň údaj</t>
  </si>
  <si>
    <t>Projektant:</t>
  </si>
  <si>
    <t>25348817</t>
  </si>
  <si>
    <t>Ateliér DPK, s.r.o.</t>
  </si>
  <si>
    <t>CZ25348817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</si>
  <si>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</si>
  <si>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</si>
  <si>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</si>
  <si>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</si>
  <si>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</si>
  <si>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</si>
  <si>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</si>
  <si>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</si>
  <si>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</si>
  <si>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</si>
  <si>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</si>
  <si>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</si>
  <si>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</si>
  <si>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</si>
  <si>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</si>
  <si>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</si>
  <si>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</si>
  <si>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</si>
  <si>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</si>
  <si>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</si>
  <si>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</si>
  <si>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</si>
  <si>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</si>
  <si>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</si>
  <si>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</si>
  <si>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</si>
  <si>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</si>
  <si>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</si>
  <si>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</si>
  <si>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</si>
  <si>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</si>
  <si>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</si>
  <si>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</si>
  <si>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</si>
  <si>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</si>
  <si>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</si>
  <si>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</si>
  <si>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</si>
  <si>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</si>
  <si>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</si>
  <si>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</si>
  <si>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</si>
  <si>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</si>
  <si>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</si>
  <si>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</si>
  <si>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Vedlejší rozpočtové náklady</t>
  </si>
  <si>
    <t>STA</t>
  </si>
  <si>
    <t>1</t>
  </si>
  <si>
    <t>{f61cb49c-fdc9-4c6a-a034-aab45f7773e5}</t>
  </si>
  <si>
    <t>2</t>
  </si>
  <si>
    <t>SO 100</t>
  </si>
  <si>
    <t>Komunikace a parkovací stání</t>
  </si>
  <si>
    <t>{41308c5d-ad4c-4cb4-97ac-9b92a18e88be}</t>
  </si>
  <si>
    <t>SO 110</t>
  </si>
  <si>
    <t>Chodníky</t>
  </si>
  <si>
    <t>{63b44114-549e-43e1-b52f-794611e4cb0f}</t>
  </si>
  <si>
    <t>SO 200</t>
  </si>
  <si>
    <t>Opěrná stěna</t>
  </si>
  <si>
    <t>{3b9d4cf7-2e33-403a-8eed-412a04524391}</t>
  </si>
  <si>
    <t>SO 300</t>
  </si>
  <si>
    <t>Kanalizace dešťová</t>
  </si>
  <si>
    <t>{0f9f1b02-80ed-4d3d-a02b-9785ccc43943}</t>
  </si>
  <si>
    <t>SO 400.3</t>
  </si>
  <si>
    <t>Přeložka sdělovacích kabelů UPC</t>
  </si>
  <si>
    <t>{e744db6f-8e40-4da2-a7bc-2158620c64d3}</t>
  </si>
  <si>
    <t>SO 400.4</t>
  </si>
  <si>
    <t>Přeložka sdělovacích kabelu AQUA a..s.</t>
  </si>
  <si>
    <t>{2883964f-8268-4c02-bb09-cbc591efb355}</t>
  </si>
  <si>
    <t>SO 600</t>
  </si>
  <si>
    <t>Veřejné osvětlení</t>
  </si>
  <si>
    <t>{4774649e-3977-4562-b899-54ff0bdd298a}</t>
  </si>
  <si>
    <t>SO 800</t>
  </si>
  <si>
    <t>Sadové úpravy</t>
  </si>
  <si>
    <t>{78be5407-5f4c-4ceb-b4e9-99f6ebf6bac5}</t>
  </si>
  <si>
    <t>SO 800-1</t>
  </si>
  <si>
    <t>Sadové úpravy - následná péče</t>
  </si>
  <si>
    <t>{8102950f-26de-4a47-a101-50865cc8c71a}</t>
  </si>
  <si>
    <t>SO 900, 901</t>
  </si>
  <si>
    <t>Podzemní kontejnery, hrací prvky</t>
  </si>
  <si>
    <t>{1722d25b-44a0-406a-8920-72d9e03e397d}</t>
  </si>
  <si>
    <t>KRYCÍ LIST SOUPISU PRACÍ</t>
  </si>
  <si>
    <t>Objekt:</t>
  </si>
  <si>
    <t>SO 001 -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</si>
  <si>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</si>
  <si>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</si>
  <si>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</si>
  <si>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</si>
  <si>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</si>
  <si>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</si>
  <si>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</si>
  <si>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</si>
  <si>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</si>
  <si>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</si>
  <si>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</si>
  <si>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</si>
  <si>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</si>
  <si>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</si>
  <si>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</si>
  <si>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</si>
  <si>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</si>
  <si>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</si>
  <si>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</si>
  <si>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</si>
  <si>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</si>
  <si>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</si>
  <si>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</si>
  <si>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</si>
  <si>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</si>
  <si>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</si>
  <si>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</si>
  <si>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</si>
  <si>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</si>
  <si>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</si>
  <si>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kpl</t>
  </si>
  <si>
    <t>CS ÚRS 2022 02</t>
  </si>
  <si>
    <t>1024</t>
  </si>
  <si>
    <t>1617091338</t>
  </si>
  <si>
    <t>Online PSC</t>
  </si>
  <si>
    <t>https://podminky.urs.cz/item/CS_URS_2022_02/012002000</t>
  </si>
  <si>
    <t>P</t>
  </si>
  <si>
    <t>Poznámka k položce:
Geometrický plán pro majetkoprávní vypořádání</t>
  </si>
  <si>
    <t>012203000A</t>
  </si>
  <si>
    <t>Geodetické práce při provádění stavby</t>
  </si>
  <si>
    <t>538284743</t>
  </si>
  <si>
    <t>Poznámka k položce:
Vytýčení stavby</t>
  </si>
  <si>
    <t>3</t>
  </si>
  <si>
    <t>012203000B</t>
  </si>
  <si>
    <t>185008330</t>
  </si>
  <si>
    <t>Poznámka k položce:
Vytýčení inženýrských sítí</t>
  </si>
  <si>
    <t>4</t>
  </si>
  <si>
    <t>012303000</t>
  </si>
  <si>
    <t>Geodetické práce po výstavbě</t>
  </si>
  <si>
    <t>1057794354</t>
  </si>
  <si>
    <t>https://podminky.urs.cz/item/CS_URS_2022_02/012303000</t>
  </si>
  <si>
    <t>Poznámka k položce:
Zaměření skutečného provedení stavby</t>
  </si>
  <si>
    <t>013244000</t>
  </si>
  <si>
    <t>Dokumentace pro provádění stavby</t>
  </si>
  <si>
    <t>-5378126</t>
  </si>
  <si>
    <t>https://podminky.urs.cz/item/CS_URS_2022_02/013244000</t>
  </si>
  <si>
    <t>Poznámka k položce:
Výrobní dokumentace.
Výkres pro stanovení místní úpravy provozu - rozhodnutí.</t>
  </si>
  <si>
    <t>6</t>
  </si>
  <si>
    <t>013254000</t>
  </si>
  <si>
    <t>Dokumentace skutečného provedení stavby</t>
  </si>
  <si>
    <t>597389384</t>
  </si>
  <si>
    <t>https://podminky.urs.cz/item/CS_URS_2022_02/013254000</t>
  </si>
  <si>
    <t>VRN3</t>
  </si>
  <si>
    <t>Zařízení staveniště</t>
  </si>
  <si>
    <t>7</t>
  </si>
  <si>
    <t>030001000</t>
  </si>
  <si>
    <t>1138326097</t>
  </si>
  <si>
    <t>https://podminky.urs.cz/item/CS_URS_2022_02/030001000</t>
  </si>
  <si>
    <t>Poznámka k položce:
Zařízení staveniště, oplocení požadovaných částí staveniště a přejezdy přes překopy</t>
  </si>
  <si>
    <t>8</t>
  </si>
  <si>
    <t>031002000</t>
  </si>
  <si>
    <t>Související práce pro zařízení staveniště</t>
  </si>
  <si>
    <t>1022177949</t>
  </si>
  <si>
    <t>https://podminky.urs.cz/item/CS_URS_2022_02/031002000</t>
  </si>
  <si>
    <t>Poznámka k položce:
Související práce pro zařízení staveniště zajištění staveništních cest</t>
  </si>
  <si>
    <t>9</t>
  </si>
  <si>
    <t>049103000</t>
  </si>
  <si>
    <t>Náklady vzniklé v souvislosti s realizací stavby</t>
  </si>
  <si>
    <t>-1107355324</t>
  </si>
  <si>
    <t>https://podminky.urs.cz/item/CS_URS_2022_02/049103000</t>
  </si>
  <si>
    <t>Poznámka k položce:
Zajištění přechodné úpravy provozu (rozhodnutí), včetně veškerého dočasného dopravního značení, SSZ</t>
  </si>
  <si>
    <t>10</t>
  </si>
  <si>
    <t>034503000</t>
  </si>
  <si>
    <t>Informační tabule na staveništi</t>
  </si>
  <si>
    <t>1165492716</t>
  </si>
  <si>
    <t>https://podminky.urs.cz/item/CS_URS_2022_02/034503000</t>
  </si>
  <si>
    <t>VRN4</t>
  </si>
  <si>
    <t>Inženýrská činnost</t>
  </si>
  <si>
    <t>11</t>
  </si>
  <si>
    <t>043103000</t>
  </si>
  <si>
    <t>Zkoušky bez rozlišení</t>
  </si>
  <si>
    <t>-122811253</t>
  </si>
  <si>
    <t>https://podminky.urs.cz/item/CS_URS_2022_02/043103000</t>
  </si>
  <si>
    <t>Poznámka k položce:
Veškeré zkoušky, testy a protokoly</t>
  </si>
  <si>
    <t>12</t>
  </si>
  <si>
    <t>045203000</t>
  </si>
  <si>
    <t>Kompletační činnost</t>
  </si>
  <si>
    <t>387671065</t>
  </si>
  <si>
    <t>https://podminky.urs.cz/item/CS_URS_2022_02/045203000</t>
  </si>
  <si>
    <t>VRN9</t>
  </si>
  <si>
    <t>Ostatní náklady</t>
  </si>
  <si>
    <t>13</t>
  </si>
  <si>
    <t>090001000A</t>
  </si>
  <si>
    <t>-1876746522</t>
  </si>
  <si>
    <t>Poznámka k položce:
Ostatní náklady - fotodokumentace</t>
  </si>
  <si>
    <t>14</t>
  </si>
  <si>
    <t>090001000B</t>
  </si>
  <si>
    <t>Biologický dozor</t>
  </si>
  <si>
    <t>-93607608</t>
  </si>
  <si>
    <t>SO 100 - Komunikace a parkovací stání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</si>
  <si>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</si>
  <si>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</si>
  <si>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</si>
  <si>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</si>
  <si>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</si>
  <si>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</si>
  <si>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</si>
  <si>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</si>
  <si>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</si>
  <si>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</si>
  <si>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</si>
  <si>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</si>
  <si>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</si>
  <si>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</si>
  <si>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111151121</t>
  </si>
  <si>
    <t>Pokosení trávníku při souvislé ploše do 1000 m2 parkového v rovině nebo svahu do 1:5</t>
  </si>
  <si>
    <t>m2</t>
  </si>
  <si>
    <t>-1449679202</t>
  </si>
  <si>
    <t>https://podminky.urs.cz/item/CS_URS_2022_02/111151121</t>
  </si>
  <si>
    <t>VV</t>
  </si>
  <si>
    <t>"Parkoviště - stání - rošty - zatravnění - 2 x pokosení"2*421</t>
  </si>
  <si>
    <t>Součet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</si>
  <si>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</si>
  <si>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</si>
  <si>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-1215328179</t>
  </si>
  <si>
    <t>https://podminky.urs.cz/item/CS_URS_2022_02/113106142</t>
  </si>
  <si>
    <t>"chodník, dlažba tl. 60 mm"40</t>
  </si>
  <si>
    <t>113106190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</si>
  <si>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vyplněnými kamenivem</t>
  </si>
  <si>
    <t>-2115811235</t>
  </si>
  <si>
    <t>https://podminky.urs.cz/item/CS_URS_2022_02/113106190</t>
  </si>
  <si>
    <t>"betonové panely pod kontejnery - tl. 200 mm"42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</si>
  <si>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</si>
  <si>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</si>
  <si>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104521606</t>
  </si>
  <si>
    <t>https://podminky.urs.cz/item/CS_URS_2022_02/113107161</t>
  </si>
  <si>
    <t>"chodník, štěrkodrť/R-materiál - tl. 60 mm"300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</si>
  <si>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</si>
  <si>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</si>
  <si>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-642377432</t>
  </si>
  <si>
    <t>https://podminky.urs.cz/item/CS_URS_2022_02/113107162</t>
  </si>
  <si>
    <t>"chodník, štěrkodrť - tl. 150 mm"300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</si>
  <si>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</si>
  <si>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</si>
  <si>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-392343078</t>
  </si>
  <si>
    <t>https://podminky.urs.cz/item/CS_URS_2022_02/113107222</t>
  </si>
  <si>
    <t>"parkovací stání - štěrkodrť - tl. 150 mm"286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</si>
  <si>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</si>
  <si>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</si>
  <si>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-1233786376</t>
  </si>
  <si>
    <t>https://podminky.urs.cz/item/CS_URS_2022_02/113107223</t>
  </si>
  <si>
    <t>"komunikace - štěrkodrť - tl. 230 mm"491</t>
  </si>
  <si>
    <t>"vytěžený materiál bude uložen na mezideponii a bude použit do násypu objektu SO 110"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</si>
  <si>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</si>
  <si>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</si>
  <si>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2095479505</t>
  </si>
  <si>
    <t>https://podminky.urs.cz/item/CS_URS_2022_02/113107231</t>
  </si>
  <si>
    <t>"komunikace - SC - tl. 150 mm"491+17+3</t>
  </si>
  <si>
    <t>"parkovací stání - SC - tl. 150 mm"286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</si>
  <si>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</si>
  <si>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</si>
  <si>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421659752</t>
  </si>
  <si>
    <t>https://podminky.urs.cz/item/CS_URS_2022_02/113107241</t>
  </si>
  <si>
    <t>"chodník tl. 40 mm"260</t>
  </si>
  <si>
    <t>113154263</t>
  </si>
  <si>
    <t>Frézování živičného podkladu nebo krytu s naložením na dopravní prostředek plochy přes 500 do 1 000 m2 s překážkami v trase pruhu šířky přes 1 m do 2 m, tloušťky vrstvy 50 mm</t>
  </si>
  <si>
    <t>1761958244</t>
  </si>
  <si>
    <t>https://podminky.urs.cz/item/CS_URS_2022_02/113154263</t>
  </si>
  <si>
    <t>"komunikace"491+63+23+6</t>
  </si>
  <si>
    <t>"parkovací stání"286</t>
  </si>
  <si>
    <t>113154264</t>
  </si>
  <si>
    <t>Frézování živičného podkladu nebo krytu s naložením na dopravní prostředek plochy přes 500 do 1 000 m2 s překážkami v trase pruhu šířky přes 1 m do 2 m, tloušťky vrstvy 100 mm</t>
  </si>
  <si>
    <t>-1283810402</t>
  </si>
  <si>
    <t>https://podminky.urs.cz/item/CS_URS_2022_02/113154264</t>
  </si>
  <si>
    <t>"parkoviště - tl. 70 mm"491+35+4</t>
  </si>
  <si>
    <t>"parkovací stání - tl. 70 mm"286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</si>
  <si>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</si>
  <si>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</si>
  <si>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</si>
  <si>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-1660039689</t>
  </si>
  <si>
    <t>https://podminky.urs.cz/item/CS_URS_2022_02/113201111</t>
  </si>
  <si>
    <t>"přídlažba"181</t>
  </si>
  <si>
    <t>113202111</t>
  </si>
  <si>
    <t>Vytrhání obrub s vybouráním lože, s přemístěním hmot na skládku na vzdálenost do 3 m nebo s naložením na dopravní prostředek z krajníků nebo obrubníků stojatých</t>
  </si>
  <si>
    <t>29543017</t>
  </si>
  <si>
    <t>https://podminky.urs.cz/item/CS_URS_2022_02/113202111</t>
  </si>
  <si>
    <t>280+97</t>
  </si>
  <si>
    <t>121151123</t>
  </si>
  <si>
    <t>Sejmutí ornice strojně při souvislé ploše přes 500 m2, tl. vrstvy do 200 mm</t>
  </si>
  <si>
    <t>1824099886</t>
  </si>
  <si>
    <t>https://podminky.urs.cz/item/CS_URS_2022_02/121151123</t>
  </si>
  <si>
    <t>"sejmutí ornice tl. 100 mm"1485</t>
  </si>
  <si>
    <t>122252204</t>
  </si>
  <si>
    <t>Odkopávky a prokopávky nezapažené pro silnice a dálnice strojně v hornině třídy těžitelnosti I přes 100 do 500 m3</t>
  </si>
  <si>
    <t>m3</t>
  </si>
  <si>
    <t>-1184238157</t>
  </si>
  <si>
    <t>https://podminky.urs.cz/item/CS_URS_2022_02/122252204</t>
  </si>
  <si>
    <t>"odkop Osa 1 a 3 - příjezd - přesun na mezideponii"186</t>
  </si>
  <si>
    <t>"parkoviště u opěrné zdi na úroveň pláně s rozšířením pro pilotaž stěny - přesun na deponii"280</t>
  </si>
  <si>
    <t>"odkop neúnosného podloží na tl. 0,4 (položka čerpatelná pouze se souhlasem investora)"2097*0,4</t>
  </si>
  <si>
    <t>16</t>
  </si>
  <si>
    <t>129951123</t>
  </si>
  <si>
    <t>Bourání konstrukcí v odkopávkách a prokopávkách strojně s přemístěním suti na hromady na vzdálenost do 20 m nebo s naložením na dopravní prostředek z betonu železového nebo předpjatého</t>
  </si>
  <si>
    <t>1096607844</t>
  </si>
  <si>
    <t>https://podminky.urs.cz/item/CS_URS_2022_02/129951123</t>
  </si>
  <si>
    <t>"bourání UV - 2X"2*0,27</t>
  </si>
  <si>
    <t>17</t>
  </si>
  <si>
    <t>131151102</t>
  </si>
  <si>
    <t>Hloubení nezapažených jam a zářezů strojně s urovnáním dna do předepsaného profilu a spádu v hornině třídy těžitelnosti I skupiny 1 a 2 přes 20 do 50 m3</t>
  </si>
  <si>
    <t>1510614135</t>
  </si>
  <si>
    <t>https://podminky.urs.cz/item/CS_URS_2022_02/131151102</t>
  </si>
  <si>
    <t>"drenážní šachtice - 9 ks"9*2</t>
  </si>
  <si>
    <t>"pro novou UV a horskou vpusť"9*4,17</t>
  </si>
  <si>
    <t>18</t>
  </si>
  <si>
    <t>132251104</t>
  </si>
  <si>
    <t>Hloubení nezapažených rýh šířky do 800 mm strojně s urovnáním dna do předepsaného profilu a spádu v hornině třídy těžitelnosti I skupiny 3 přes 100 m3</t>
  </si>
  <si>
    <t>-337994844</t>
  </si>
  <si>
    <t>https://podminky.urs.cz/item/CS_URS_2022_02/132251104</t>
  </si>
  <si>
    <t>"trativody (délka*šířka*hloubka)"476*0,6*0,4</t>
  </si>
  <si>
    <t>"rýha pro kanalizační přípojku (délka*šířka*hloubka)"9*0,6*2</t>
  </si>
  <si>
    <t>19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</si>
  <si>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</si>
  <si>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</si>
  <si>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1953903431</t>
  </si>
  <si>
    <t>https://podminky.urs.cz/item/CS_URS_2022_02/162351103</t>
  </si>
  <si>
    <t>"přemístění ornice pro zpětné ohumusování na mezideponii"1485*0,1</t>
  </si>
  <si>
    <t>"hloubení jam pro UV a horskou vpusť"55,53</t>
  </si>
  <si>
    <t>"hloubení rýh pro trativody a kanalizační přípojky"125,04</t>
  </si>
  <si>
    <t>"přemístění zeminy do zásypů rýh a jam"37,08</t>
  </si>
  <si>
    <t>"přemístění zeminy určené do násypu objektu z mezideponie"50</t>
  </si>
  <si>
    <t>20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</si>
  <si>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</si>
  <si>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</si>
  <si>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250212472</t>
  </si>
  <si>
    <t>https://podminky.urs.cz/item/CS_URS_2022_02/162751117</t>
  </si>
  <si>
    <t>"vybouraná UV"0,24</t>
  </si>
  <si>
    <t>120</t>
  </si>
  <si>
    <t>1837017394</t>
  </si>
  <si>
    <t>"zemina z neúnosného podloží na skládku - předpoklad do 20 km"838,8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</si>
  <si>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</si>
  <si>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</si>
  <si>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1457994595</t>
  </si>
  <si>
    <t>https://podminky.urs.cz/item/CS_URS_2022_02/162751119</t>
  </si>
  <si>
    <t>0,24*10 'Přepočtené koeficientem množství</t>
  </si>
  <si>
    <t>121</t>
  </si>
  <si>
    <t>-1709776494</t>
  </si>
  <si>
    <t>838,8*10 'Přepočtené koeficientem množství</t>
  </si>
  <si>
    <t>22</t>
  </si>
  <si>
    <t>167151111</t>
  </si>
  <si>
    <t>Nakládání, skládání a překládání neulehlého výkopku nebo sypaniny strojně nakládání, množství přes 100 m3, z hornin třídy těžitelnosti I, skupiny 1 až 3</t>
  </si>
  <si>
    <t>-2080193321</t>
  </si>
  <si>
    <t>https://podminky.urs.cz/item/CS_URS_2022_02/167151111</t>
  </si>
  <si>
    <t>"zemina pro zpětné použítí do násypu na mezideponii"50</t>
  </si>
  <si>
    <t>"zemina pro zásyp jam a rýh"37,08</t>
  </si>
  <si>
    <t>23</t>
  </si>
  <si>
    <t>171152112</t>
  </si>
  <si>
    <t>Uložení sypaniny do zhutněných násypů pro silnice, dálnice a letiště s rozprostřením sypaniny ve vrstvách, s hrubým urovnáním a uzavřením povrchu násypu z hornin nesoudržných sypkých mimo aktivní zónu</t>
  </si>
  <si>
    <t>-1563480616</t>
  </si>
  <si>
    <t>https://podminky.urs.cz/item/CS_URS_2022_02/171152112</t>
  </si>
  <si>
    <t>24</t>
  </si>
  <si>
    <t>171251201</t>
  </si>
  <si>
    <t>Uložení sypaniny na skládky nebo meziskládky bez hutnění s upravením uložené sypaniny do předepsaného tvaru</t>
  </si>
  <si>
    <t>1943673044</t>
  </si>
  <si>
    <t>https://podminky.urs.cz/item/CS_URS_2022_02/171251201</t>
  </si>
  <si>
    <t>"ornice pro zpětné ohumusování na meziskládce"148,5</t>
  </si>
  <si>
    <t>"hloubení rýh"134,1</t>
  </si>
  <si>
    <t>"hloubení jam"55,53</t>
  </si>
  <si>
    <t>25</t>
  </si>
  <si>
    <t>174151101</t>
  </si>
  <si>
    <t>Zásyp jam, šachet rýh nebo kolem objektů sypaninou se zhutněním</t>
  </si>
  <si>
    <t>1372130083</t>
  </si>
  <si>
    <t>"zásyp UV"3,34*9</t>
  </si>
  <si>
    <t>"zásyp kanalizační přípojky"10,8-(9*0,6*(0,25+0,15+0,3))</t>
  </si>
  <si>
    <t>26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</si>
  <si>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</si>
  <si>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</si>
  <si>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387606107</t>
  </si>
  <si>
    <t>https://podminky.urs.cz/item/CS_URS_2022_02/175151101</t>
  </si>
  <si>
    <t>"kanalizační přípojka"(9*0,6*(0,15+0,3))-(9*3,14*0,075*0,075)</t>
  </si>
  <si>
    <t>27</t>
  </si>
  <si>
    <t>M</t>
  </si>
  <si>
    <t>58331200</t>
  </si>
  <si>
    <t>štěrkopísek netříděný</t>
  </si>
  <si>
    <t>t</t>
  </si>
  <si>
    <t>1806655956</t>
  </si>
  <si>
    <t>2,271*1,8 'Přepočtené koeficientem množství</t>
  </si>
  <si>
    <t>28</t>
  </si>
  <si>
    <t>181152302</t>
  </si>
  <si>
    <t>Úprava pláně na stavbách silnic a dálnic strojně v zářezech mimo skalních se zhutněním</t>
  </si>
  <si>
    <t>-1359377322</t>
  </si>
  <si>
    <t>https://podminky.urs.cz/item/CS_URS_2022_02/181152302</t>
  </si>
  <si>
    <t>441+728+187+741</t>
  </si>
  <si>
    <t>29</t>
  </si>
  <si>
    <t>184853511</t>
  </si>
  <si>
    <t>Chemické odplevelení půdy před založením kultury, trávníku nebo zpevněných ploch strojně o výměře jednotlivě přes 20 m2 postřikem na široko v rovině nebo na svahu do 1:5</t>
  </si>
  <si>
    <t>-480434621</t>
  </si>
  <si>
    <t>https://podminky.urs.cz/item/CS_URS_2022_02/184853511</t>
  </si>
  <si>
    <t>"Parkoviště - stání - rošty - zatravnění"421</t>
  </si>
  <si>
    <t>Zakládání</t>
  </si>
  <si>
    <t>30</t>
  </si>
  <si>
    <t>211521111</t>
  </si>
  <si>
    <t>Výplň kamenivem do rýh odvodňovacích žeber nebo trativodů bez zhutnění, s úpravou povrchu výplně kamenivem hrubým drceným frakce 63 až 125 mm</t>
  </si>
  <si>
    <t>CS ÚRS 2021 02</t>
  </si>
  <si>
    <t>-142005620</t>
  </si>
  <si>
    <t>https://podminky.urs.cz/item/CS_URS_2021_02/211521111</t>
  </si>
  <si>
    <t>"výkop rýhy (délka*šířka*hloubka)"476*0,6*0,4</t>
  </si>
  <si>
    <t>"odpočet lože (délka*šířka*hloubka)"-476*0,6*0,25</t>
  </si>
  <si>
    <t>"odpočet trativodu"-476*3,14*0,075*0,075</t>
  </si>
  <si>
    <t>31</t>
  </si>
  <si>
    <t>211971110</t>
  </si>
  <si>
    <t>Zřízení opláštění výplně z geotextilie odvodňovacích žeber nebo trativodů v rýze nebo zářezu se stěnami šikmými o sklonu do 1:2</t>
  </si>
  <si>
    <t>CS ÚRS 2022 01</t>
  </si>
  <si>
    <t>1379285091</t>
  </si>
  <si>
    <t>https://podminky.urs.cz/item/CS_URS_2022_01/211971110</t>
  </si>
  <si>
    <t>"obvod rýhy trativodu"476*2*(0,4+0,6)</t>
  </si>
  <si>
    <t>Mezisoučet</t>
  </si>
  <si>
    <t>"přesahy a rezerva  15 %"952*0,15</t>
  </si>
  <si>
    <t>32</t>
  </si>
  <si>
    <t>69311226</t>
  </si>
  <si>
    <t>geotextilie netkaná separační, ochranná, filtrační, drenážní PES 150g/m2</t>
  </si>
  <si>
    <t>524009015</t>
  </si>
  <si>
    <t>33</t>
  </si>
  <si>
    <t>212532111</t>
  </si>
  <si>
    <t>Lože pro trativody z kameniva hrubého drceného</t>
  </si>
  <si>
    <t>146750107</t>
  </si>
  <si>
    <t>https://podminky.urs.cz/item/CS_URS_2021_02/212532111</t>
  </si>
  <si>
    <t>"(délka*šířka*hloubka)"476*0,6*0,25</t>
  </si>
  <si>
    <t>34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</si>
  <si>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</si>
  <si>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</si>
  <si>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-2090831512</t>
  </si>
  <si>
    <t>https://podminky.urs.cz/item/CS_URS_2022_01/212752102</t>
  </si>
  <si>
    <t>"DN 125"476</t>
  </si>
  <si>
    <t>Vodorovné konstrukce</t>
  </si>
  <si>
    <t>35</t>
  </si>
  <si>
    <t>452112122</t>
  </si>
  <si>
    <t>Osazení betonových dílců prstenců nebo rámů pod poklopy a mříže, výšky přes 100 do 200 mm</t>
  </si>
  <si>
    <t>kus</t>
  </si>
  <si>
    <t>2037875021</t>
  </si>
  <si>
    <t>https://podminky.urs.cz/item/CS_URS_2022_02/452112122</t>
  </si>
  <si>
    <t>36</t>
  </si>
  <si>
    <t>59224188</t>
  </si>
  <si>
    <t>prstenec šachtový vyrovnávací betonový 625x120x120mm</t>
  </si>
  <si>
    <t>-1350026471</t>
  </si>
  <si>
    <t>Komunikace pozemní</t>
  </si>
  <si>
    <t>37</t>
  </si>
  <si>
    <t>561121101-20</t>
  </si>
  <si>
    <t>Zřízení podložné vrstvy ze směsi L (směs štěrku a ornice), s rozprostřením, vlhčením, promísením a zhutněním, tloušťka po zhutnění 40 mm</t>
  </si>
  <si>
    <t>867403618</t>
  </si>
  <si>
    <t>Poznámka k položce:
Obsah humózní směsi:
40% - štěrk fr. 2/5
20% - lávový materiál, (alternativně obdobný materiál) fr. 2/4
30% - prosetá ornice
10% - vyzrálý kompost</t>
  </si>
  <si>
    <t>"Parkoviště - stání - rošty - zatravnění"661</t>
  </si>
  <si>
    <t>38</t>
  </si>
  <si>
    <t>564851011</t>
  </si>
  <si>
    <t>Podklad ze štěrkodrti ŠD s rozprostřením a zhutněním plochy jednotlivě do 100 m2, po zhutnění tl. 150 mm</t>
  </si>
  <si>
    <t>1865738777</t>
  </si>
  <si>
    <t>https://podminky.urs.cz/item/CS_URS_2022_02/564851011</t>
  </si>
  <si>
    <t>Poznámka k položce:
ŠDA 0/32</t>
  </si>
  <si>
    <t>"Parkovací stání - betonová dlažba"164+ "rozšíření pod obruby"46*0,5</t>
  </si>
  <si>
    <t>"rozšíření pod obruby"133*0,5</t>
  </si>
  <si>
    <t>"Parkoviště - komunikace - rošty - dlažba - tl. 2x150 mm"2*435</t>
  </si>
  <si>
    <t>"rozšíření pod obruby - tl. 2x150 mm"2*12*0,5</t>
  </si>
  <si>
    <t>39</t>
  </si>
  <si>
    <t>564861011-30</t>
  </si>
  <si>
    <t>Zřízení balastní vrstvy ze směsi P (směs štěrku a ornice), s rozprostřením, vlhčením, promísením a zhutněním, tloušťka po zhutnění 200 mm</t>
  </si>
  <si>
    <t>-1796715012</t>
  </si>
  <si>
    <t>Poznámka k položce:
Obsah humózní směsi:
60% - štěrkodrť fr. 0/32
40% - prosetá ornice</t>
  </si>
  <si>
    <t>40</t>
  </si>
  <si>
    <t>564861111</t>
  </si>
  <si>
    <t>Podklad ze štěrkodrti ŠD s rozprostřením a zhutněním plochy přes 100 m2, po zhutnění tl. 200 mm</t>
  </si>
  <si>
    <t>1727211159</t>
  </si>
  <si>
    <t>https://podminky.urs.cz/item/CS_URS_2022_02/564861111</t>
  </si>
  <si>
    <t>"výměna neúnosného podloží tl. 400 mm (položka čerpatelná pouze se souhlasem investora)"2*2097</t>
  </si>
  <si>
    <t>"Komunikace - asfalt"489</t>
  </si>
  <si>
    <t>"rozšíření pod obruby"360*0,7</t>
  </si>
  <si>
    <t>41</t>
  </si>
  <si>
    <t>565155111</t>
  </si>
  <si>
    <t>Asfaltový beton vrstva podkladní ACP 16 (obalované kamenivo střednězrnné - OKS) s rozprostřením a zhutněním v pruhu šířky přes 1,5 do 3 m, po zhutnění tl. 70 mm</t>
  </si>
  <si>
    <t>160647009</t>
  </si>
  <si>
    <t>https://podminky.urs.cz/item/CS_URS_2022_01/565155111</t>
  </si>
  <si>
    <t>Poznámka k položce:
ACP 16+ 50/70</t>
  </si>
  <si>
    <t>"Komunikace - asfalt"528</t>
  </si>
  <si>
    <t>42</t>
  </si>
  <si>
    <t>567122114</t>
  </si>
  <si>
    <t>Podklad ze směsi stmelené cementem SC bez dilatačních spár, s rozprostřením a zhutněním SC C 8/10 (KSC I), po zhutnění tl. 150 mm</t>
  </si>
  <si>
    <t>-564901557</t>
  </si>
  <si>
    <t>https://podminky.urs.cz/item/CS_URS_2022_02/567122114</t>
  </si>
  <si>
    <t>"Parkovací stání - betonová dlažba"164</t>
  </si>
  <si>
    <t>43</t>
  </si>
  <si>
    <t>567132113</t>
  </si>
  <si>
    <t>Podklad ze směsi stmelené cementem SC bez dilatačních spár, s rozprostřením a zhutněním SC C 8/10 (KSC I), po zhutnění tl. 180 mm</t>
  </si>
  <si>
    <t>59039370</t>
  </si>
  <si>
    <t>https://podminky.urs.cz/item/CS_URS_2022_01/567132113</t>
  </si>
  <si>
    <t>"Komunikace - asfalt"489+17+3 "(fr. 0/32)"</t>
  </si>
  <si>
    <t>44</t>
  </si>
  <si>
    <t>573191111</t>
  </si>
  <si>
    <t>Postřik infiltrační kationaktivní emulzí v množství 1,00 kg/m2</t>
  </si>
  <si>
    <t>1545393449</t>
  </si>
  <si>
    <t>https://podminky.urs.cz/item/CS_URS_2021_02/573191111</t>
  </si>
  <si>
    <t>45</t>
  </si>
  <si>
    <t>573231108</t>
  </si>
  <si>
    <t>Postřik spojovací PS bez posypu kamenivem ze silniční emulze, v množství 0,50 kg/m2</t>
  </si>
  <si>
    <t>1293551369</t>
  </si>
  <si>
    <t>https://podminky.urs.cz/item/CS_URS_2021_02/573231108</t>
  </si>
  <si>
    <t>"Komunikace - asfalt"489+21+63+6</t>
  </si>
  <si>
    <t>46</t>
  </si>
  <si>
    <t>577144111</t>
  </si>
  <si>
    <t>Asfaltový beton vrstva obrusná ACO 11 (ABS) s rozprostřením a se zhutněním z nemodifikovaného asfaltu v pruhu šířky do 3 m tř. I, po zhutnění tl. 50 mm</t>
  </si>
  <si>
    <t>1300752753</t>
  </si>
  <si>
    <t>https://podminky.urs.cz/item/CS_URS_2022_01/577144111</t>
  </si>
  <si>
    <t>Poznámka k položce:
ACO 11+ 50/70</t>
  </si>
  <si>
    <t>47</t>
  </si>
  <si>
    <t>593532114-06</t>
  </si>
  <si>
    <t>Kladení plastových zasakovacích roštů pozem.komun. se zámkem tl 60 mm pl přes 300 m2 - s pokládkou vyrovnávací/podklad.vrstvy 3-5cm, vyplněním zasakovacích otvorů (dodávky: podklad.vrstva,výplně otvorů i rošty= samostatně ve specifikaci)</t>
  </si>
  <si>
    <t>-2632400</t>
  </si>
  <si>
    <t>"Parkoviště - komunikace - rošty - dlažba"435</t>
  </si>
  <si>
    <t>48</t>
  </si>
  <si>
    <t>56245139-06</t>
  </si>
  <si>
    <t>plastové zasakovací rošty - robustní konstrukce z recyklovaného plastu, uhlíkově neutrální produkt, rozměr 800x400x60 mm, tl. stěny 150 mm, styčná plocha roštů větší než 0,7m2/m2 (styčná plocha jednoho roštu cca 0,235 m2)</t>
  </si>
  <si>
    <t>718529385</t>
  </si>
  <si>
    <t>1096*1,01 'Přepočtené koeficientem množství</t>
  </si>
  <si>
    <t>49</t>
  </si>
  <si>
    <t>58343810</t>
  </si>
  <si>
    <t>kamenivo drcené hrubé frakce 4/8</t>
  </si>
  <si>
    <t>-616173363</t>
  </si>
  <si>
    <t>50</t>
  </si>
  <si>
    <t>10364100-01</t>
  </si>
  <si>
    <t>živná půda - humozní směs pro výplně roštů - smíchání a rozprostření vč. dopravy na stavbu</t>
  </si>
  <si>
    <t>148168623</t>
  </si>
  <si>
    <t>Poznámka k položce:
Obsah humózní směsi:
50% - prosetá ornice
10% - vyzrálý kompost
20% - praný písek
20% - lávový materiál, (alternativně obdobný materiál) fr. 2/4</t>
  </si>
  <si>
    <t>"Parkoviště - stání - rošty - zatravnění"401</t>
  </si>
  <si>
    <t>51</t>
  </si>
  <si>
    <t>593532119-06</t>
  </si>
  <si>
    <t xml:space="preserve">Příplatek pro výplň do zasakovacích roštů - kladení výplně z dlaždic - kostek 74/74/48mm do roštových otvorů </t>
  </si>
  <si>
    <t>1939923451</t>
  </si>
  <si>
    <t>52</t>
  </si>
  <si>
    <t>59245016-05</t>
  </si>
  <si>
    <t>dlažba tvar čtverec betonová 74x74x48mm přírodní - kostky do plastových zasakovacích roštů tl. 60 mm (100 ks/2m)</t>
  </si>
  <si>
    <t>2010047226</t>
  </si>
  <si>
    <t>"Parkoviště - komunikace - rošty - dlažba"</t>
  </si>
  <si>
    <t>"parkoviště - výplň roštů"435</t>
  </si>
  <si>
    <t>"oddělení parkovacích stání"209</t>
  </si>
  <si>
    <t>"stání ZTP + obratiště"53</t>
  </si>
  <si>
    <t>697*1,01 'Přepočtené koeficientem množství</t>
  </si>
  <si>
    <t>53</t>
  </si>
  <si>
    <t>594511113</t>
  </si>
  <si>
    <t>Kladení dlažby z lomového kamene lomařsky upraveného v ploše vodorovné nebo ve sklonu na plocho tl. do 250 mm, bez vyplnění spár, s provedením lože tl. 50 mm z betonu</t>
  </si>
  <si>
    <t>202910750</t>
  </si>
  <si>
    <t>https://podminky.urs.cz/item/CS_URS_2022_02/594511113</t>
  </si>
  <si>
    <t>54</t>
  </si>
  <si>
    <t>58381088</t>
  </si>
  <si>
    <t>kámen lomový upravený třída I pro zdivo rigolové pískovec</t>
  </si>
  <si>
    <t>-723966527</t>
  </si>
  <si>
    <t>55</t>
  </si>
  <si>
    <t>596211212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</si>
  <si>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</si>
  <si>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-770157522</t>
  </si>
  <si>
    <t>https://podminky.urs.cz/item/CS_URS_2022_02/596211212</t>
  </si>
  <si>
    <t>"Parkovací stání - betonová dlažba"</t>
  </si>
  <si>
    <t>"200x100x80 mm - přírodní"158</t>
  </si>
  <si>
    <t>"200x100x80 mm - barevná (oddělení parkovacích stání)"6</t>
  </si>
  <si>
    <t>56</t>
  </si>
  <si>
    <t>59245020</t>
  </si>
  <si>
    <t>dlažba tvar obdélník betonová 200x100x80mm přírodní</t>
  </si>
  <si>
    <t>1376850356</t>
  </si>
  <si>
    <t>"Parkovací stání - betonová dlažba"158</t>
  </si>
  <si>
    <t>158*1,02 'Přepočtené koeficientem množství</t>
  </si>
  <si>
    <t>57</t>
  </si>
  <si>
    <t>59245005</t>
  </si>
  <si>
    <t>dlažba tvar obdélník betonová 200x100x80mm barevná</t>
  </si>
  <si>
    <t>-437570900</t>
  </si>
  <si>
    <t>"Parkovací stání - betonová dlažba"6</t>
  </si>
  <si>
    <t>6*1,02 'Přepočtené koeficientem množství</t>
  </si>
  <si>
    <t>Trubní vedení</t>
  </si>
  <si>
    <t>58</t>
  </si>
  <si>
    <t>817374111-R</t>
  </si>
  <si>
    <t>Napojení trativodu do uliční vpusti nebo šachty</t>
  </si>
  <si>
    <t>-1026439214</t>
  </si>
  <si>
    <t>"UV"12</t>
  </si>
  <si>
    <t>"ŠACHTA"14</t>
  </si>
  <si>
    <t>59</t>
  </si>
  <si>
    <t>87128R</t>
  </si>
  <si>
    <t>Napojení (navrtávka) potrubí DN 150 na stávající kanalizaci</t>
  </si>
  <si>
    <t>-594331088</t>
  </si>
  <si>
    <t>60</t>
  </si>
  <si>
    <t>871310310.1</t>
  </si>
  <si>
    <t>Montáž kanalizačního potrubí z plastů z polypropylenu PP hladkého plnostěnného SN 10 DN 150</t>
  </si>
  <si>
    <t>-845220211</t>
  </si>
  <si>
    <t>https://podminky.urs.cz/item/CS_URS_2022_01/871310310.1</t>
  </si>
  <si>
    <t>61</t>
  </si>
  <si>
    <t>28617003.1</t>
  </si>
  <si>
    <t>trubka kanalizační PP plnostěnná třívrstvá DN 150x1000mm SN10</t>
  </si>
  <si>
    <t>710694787</t>
  </si>
  <si>
    <t>62</t>
  </si>
  <si>
    <t>895211131</t>
  </si>
  <si>
    <t>Drenážní šachtice kontrolní z betonových dílců typ Šk 80/3 hl. do 1,5 m</t>
  </si>
  <si>
    <t>-1427245464</t>
  </si>
  <si>
    <t>https://podminky.urs.cz/item/CS_URS_2022_02/895211131</t>
  </si>
  <si>
    <t>63</t>
  </si>
  <si>
    <t>895941102</t>
  </si>
  <si>
    <t>Osazení vpusti kanalizační horské z betonových dílců rozměru 1200/600 mm</t>
  </si>
  <si>
    <t>1251368014</t>
  </si>
  <si>
    <t>https://podminky.urs.cz/item/CS_URS_2022_02/895941102</t>
  </si>
  <si>
    <t>64</t>
  </si>
  <si>
    <t>59224448</t>
  </si>
  <si>
    <t>vpusť horská betonová spodní díl 124x62x153</t>
  </si>
  <si>
    <t>167860263</t>
  </si>
  <si>
    <t>65</t>
  </si>
  <si>
    <t>59224326</t>
  </si>
  <si>
    <t>vpusť horská betonová prstenec 150x90x30</t>
  </si>
  <si>
    <t>-1885698257</t>
  </si>
  <si>
    <t>66</t>
  </si>
  <si>
    <t>59224331</t>
  </si>
  <si>
    <t>vpusť horská betonová zákrytová deska vč. mříží z polyplastu 150x90x15</t>
  </si>
  <si>
    <t>1510182804</t>
  </si>
  <si>
    <t>67</t>
  </si>
  <si>
    <t>895941343</t>
  </si>
  <si>
    <t>Osazení vpusti uliční z betonových dílců DN 500 dno vysoké s kalištěm</t>
  </si>
  <si>
    <t>-2135035629</t>
  </si>
  <si>
    <t>https://podminky.urs.cz/item/CS_URS_2022_02/895941343</t>
  </si>
  <si>
    <t>68</t>
  </si>
  <si>
    <t>59223822</t>
  </si>
  <si>
    <t>vpusť uliční dno s výtokem betonové 626x495x50mm</t>
  </si>
  <si>
    <t>-999392698</t>
  </si>
  <si>
    <t>69</t>
  </si>
  <si>
    <t>895941351</t>
  </si>
  <si>
    <t>Osazení vpusti uliční z betonových dílců DN 500 skruž horní pro čtvercovou vtokovou mříž</t>
  </si>
  <si>
    <t>-1874931004</t>
  </si>
  <si>
    <t>https://podminky.urs.cz/item/CS_URS_2022_02/895941351</t>
  </si>
  <si>
    <t>70</t>
  </si>
  <si>
    <t>59223825</t>
  </si>
  <si>
    <t>vpusť uliční skruž betonová 290x500x50mm</t>
  </si>
  <si>
    <t>-1507197004</t>
  </si>
  <si>
    <t>71</t>
  </si>
  <si>
    <t>899204112R</t>
  </si>
  <si>
    <t>Osazení mříží plastových včetně rámů a košů na bahno pro třídu zatížení D400, E600</t>
  </si>
  <si>
    <t>1437302246</t>
  </si>
  <si>
    <t>72</t>
  </si>
  <si>
    <t>R.62180</t>
  </si>
  <si>
    <t>Kompozitní uliční mříž s rámem na uliční vpusť D400 kN čtvercová</t>
  </si>
  <si>
    <t>288936290</t>
  </si>
  <si>
    <t>73</t>
  </si>
  <si>
    <t>899331111</t>
  </si>
  <si>
    <t>Výšková úprava uličního vstupu nebo vpusti do 200 mm zvýšením poklopu</t>
  </si>
  <si>
    <t>-1436820258</t>
  </si>
  <si>
    <t>https://podminky.urs.cz/item/CS_URS_2022_02/899331111</t>
  </si>
  <si>
    <t>Ostatní konstrukce a práce, bourání</t>
  </si>
  <si>
    <t>74</t>
  </si>
  <si>
    <t>914111111</t>
  </si>
  <si>
    <t>Montáž svislé dopravní značky základní velikosti do 1 m2 objímkami na sloupky nebo konzoly</t>
  </si>
  <si>
    <t>310761384</t>
  </si>
  <si>
    <t>https://podminky.urs.cz/item/CS_URS_2022_01/914111111</t>
  </si>
  <si>
    <t>"P2"1</t>
  </si>
  <si>
    <t>"IP12 "3</t>
  </si>
  <si>
    <t>"E8d"1</t>
  </si>
  <si>
    <t>"přesouvaná značka"1</t>
  </si>
  <si>
    <t>75</t>
  </si>
  <si>
    <t>40445625</t>
  </si>
  <si>
    <t>informativní značky provozní IP8, IP9, IP11-IP13 500x700mm</t>
  </si>
  <si>
    <t>-2007413250</t>
  </si>
  <si>
    <t>"IP12-ZTP"3</t>
  </si>
  <si>
    <t>76</t>
  </si>
  <si>
    <t>40445612</t>
  </si>
  <si>
    <t>značky upravující přednost P2, P3, P8 750mm</t>
  </si>
  <si>
    <t>-1645976945</t>
  </si>
  <si>
    <t>77</t>
  </si>
  <si>
    <t>40445649</t>
  </si>
  <si>
    <t>dodatkové tabulky E3-E5, E8, E14-E16 500x150mm</t>
  </si>
  <si>
    <t>-665161185</t>
  </si>
  <si>
    <t>78</t>
  </si>
  <si>
    <t>914511112</t>
  </si>
  <si>
    <t>Montáž sloupku dopravních značek délky do 3,5 m do hliníkové patky</t>
  </si>
  <si>
    <t>683949288</t>
  </si>
  <si>
    <t>https://podminky.urs.cz/item/CS_URS_2022_01/914511112</t>
  </si>
  <si>
    <t>"nový sloupek"4</t>
  </si>
  <si>
    <t>"přesouvaný sloupek"1</t>
  </si>
  <si>
    <t>79</t>
  </si>
  <si>
    <t>40445225</t>
  </si>
  <si>
    <t>sloupek pro dopravní značku Zn D 60mm v 3,5m</t>
  </si>
  <si>
    <t>-1086187399</t>
  </si>
  <si>
    <t>80</t>
  </si>
  <si>
    <t>915111112</t>
  </si>
  <si>
    <t>Vodorovné dopravní značení stříkané barvou dělící čára šířky 125 mm souvislá bílá retroreflexní</t>
  </si>
  <si>
    <t>1809363544</t>
  </si>
  <si>
    <t>https://podminky.urs.cz/item/CS_URS_2022_02/915111112</t>
  </si>
  <si>
    <t>"V10b"59</t>
  </si>
  <si>
    <t>81</t>
  </si>
  <si>
    <t>915111116</t>
  </si>
  <si>
    <t>Vodorovné dopravní značení stříkané barvou dělící čára šířky 125 mm souvislá žlutá retroreflexní</t>
  </si>
  <si>
    <t>-98155926</t>
  </si>
  <si>
    <t>https://podminky.urs.cz/item/CS_URS_2022_01/915111116</t>
  </si>
  <si>
    <t>"V12a"9</t>
  </si>
  <si>
    <t>82</t>
  </si>
  <si>
    <t>915131112</t>
  </si>
  <si>
    <t>Vodorovné dopravní značení stříkané barvou přechody pro chodce, šipky, symboly bílé retroreflexní</t>
  </si>
  <si>
    <t>1057458007</t>
  </si>
  <si>
    <t>https://podminky.urs.cz/item/CS_URS_2022_02/915131112</t>
  </si>
  <si>
    <t>"ZTP symbol 4 x"4*1,5</t>
  </si>
  <si>
    <t>83</t>
  </si>
  <si>
    <t>915211112</t>
  </si>
  <si>
    <t>Vodorovné dopravní značení stříkaným plastem dělící čára šířky 125 mm souvislá bílá retroreflexní</t>
  </si>
  <si>
    <t>246624844</t>
  </si>
  <si>
    <t>https://podminky.urs.cz/item/CS_URS_2022_02/915211112</t>
  </si>
  <si>
    <t>84</t>
  </si>
  <si>
    <t>915211116</t>
  </si>
  <si>
    <t>Vodorovné dopravní značení stříkaným plastem dělící čára šířky 125 mm souvislá žlutá retroreflexní</t>
  </si>
  <si>
    <t>582037361</t>
  </si>
  <si>
    <t>https://podminky.urs.cz/item/CS_URS_2022_02/915211116</t>
  </si>
  <si>
    <t>85</t>
  </si>
  <si>
    <t>915231112</t>
  </si>
  <si>
    <t>Vodorovné dopravní značení stříkaným plastem přechody pro chodce, šipky, symboly nápisy bílé retroreflexní</t>
  </si>
  <si>
    <t>1397758952</t>
  </si>
  <si>
    <t>https://podminky.urs.cz/item/CS_URS_2022_02/915231112</t>
  </si>
  <si>
    <t>86</t>
  </si>
  <si>
    <t>915611111</t>
  </si>
  <si>
    <t>Předznačení pro vodorovné značení stříkané barvou nebo prováděné z nátěrových hmot liniové dělicí čáry, vodicí proužky</t>
  </si>
  <si>
    <t>-1318266404</t>
  </si>
  <si>
    <t>https://podminky.urs.cz/item/CS_URS_2022_01/915611111</t>
  </si>
  <si>
    <t>87</t>
  </si>
  <si>
    <t>915621111</t>
  </si>
  <si>
    <t>Předznačení pro vodorovné značení stříkané barvou nebo prováděné z nátěrových hmot plošné šipky, symboly, nápisy</t>
  </si>
  <si>
    <t>689646100</t>
  </si>
  <si>
    <t>https://podminky.urs.cz/item/CS_URS_2022_02/915621111</t>
  </si>
  <si>
    <t>88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</si>
  <si>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</si>
  <si>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</si>
  <si>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-1052085483</t>
  </si>
  <si>
    <t>https://podminky.urs.cz/item/CS_URS_2022_01/916131213</t>
  </si>
  <si>
    <t>"100/15/25"418</t>
  </si>
  <si>
    <t>"100/15/15"43</t>
  </si>
  <si>
    <t>"přechodový 100/15/15-25 P"8</t>
  </si>
  <si>
    <t>"přechodový 100/15/15-25 L"8</t>
  </si>
  <si>
    <t>"R0,5 - 5 ks"5*0,75</t>
  </si>
  <si>
    <t>"R2,0 - 4 ks"4*0,75</t>
  </si>
  <si>
    <t>89</t>
  </si>
  <si>
    <t>59217029</t>
  </si>
  <si>
    <t>obrubník betonový silniční nájezdový 1000x150x150mm</t>
  </si>
  <si>
    <t>-672181776</t>
  </si>
  <si>
    <t>43*1,02 'Přepočtené koeficientem množství</t>
  </si>
  <si>
    <t>90</t>
  </si>
  <si>
    <t>59217030</t>
  </si>
  <si>
    <t>obrubník betonový silniční přechodový 1000x150x150-250mm</t>
  </si>
  <si>
    <t>687706952</t>
  </si>
  <si>
    <t>"levý"8</t>
  </si>
  <si>
    <t>"pravý"8</t>
  </si>
  <si>
    <t>16*1,02 'Přepočtené koeficientem množství</t>
  </si>
  <si>
    <t>91</t>
  </si>
  <si>
    <t>59217031</t>
  </si>
  <si>
    <t>obrubník betonový silniční 1000x150x250mm</t>
  </si>
  <si>
    <t>-472147809</t>
  </si>
  <si>
    <t>418*1,02 'Přepočtené koeficientem množství</t>
  </si>
  <si>
    <t>92</t>
  </si>
  <si>
    <t>59217035R05</t>
  </si>
  <si>
    <t>obrubník betonový obloukový vnější 780x150x250mm - R0,5</t>
  </si>
  <si>
    <t>528584491</t>
  </si>
  <si>
    <t>5*1,02 'Přepočtené koeficientem množství</t>
  </si>
  <si>
    <t>93</t>
  </si>
  <si>
    <t>59217035R2</t>
  </si>
  <si>
    <t>obrubník betonový obloukový vnější 780x150x250mm - R2,0</t>
  </si>
  <si>
    <t>859995500</t>
  </si>
  <si>
    <t>4*1,02 'Přepočtené koeficientem množství</t>
  </si>
  <si>
    <t>94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</si>
  <si>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</si>
  <si>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</si>
  <si>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-2037577794</t>
  </si>
  <si>
    <t>https://podminky.urs.cz/item/CS_URS_2022_02/916132113</t>
  </si>
  <si>
    <t>95</t>
  </si>
  <si>
    <t>59218001</t>
  </si>
  <si>
    <t>krajník betonový silniční 500x250x80mm</t>
  </si>
  <si>
    <t>203492015</t>
  </si>
  <si>
    <t>344*1,02 'Přepočtené koeficientem množství</t>
  </si>
  <si>
    <t>96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</si>
  <si>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</si>
  <si>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</si>
  <si>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-120328522</t>
  </si>
  <si>
    <t>https://podminky.urs.cz/item/CS_URS_2022_01/916231213</t>
  </si>
  <si>
    <t>"100/10/20"7</t>
  </si>
  <si>
    <t>97</t>
  </si>
  <si>
    <t>59217019</t>
  </si>
  <si>
    <t>obrubník betonový chodníkový 1000x100x200mm</t>
  </si>
  <si>
    <t>-1255077220</t>
  </si>
  <si>
    <t>7*1,02 'Přepočtené koeficientem množství</t>
  </si>
  <si>
    <t>98</t>
  </si>
  <si>
    <t>919726129-11</t>
  </si>
  <si>
    <t>Montáž a dodávka podkladní textilie - síťovina do komunikací z roštů - jemná hladká síťovina usnadňující pokládku roštů, gramáž 24 g/m2, velikost oka =&lt; 4 mm, syntetická tkanina PE propustná pro vodu, (šířka role 3,20 m)</t>
  </si>
  <si>
    <t>2094116273</t>
  </si>
  <si>
    <t>1096*1,05 'Přepočtené koeficientem množství</t>
  </si>
  <si>
    <t>99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</si>
  <si>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</si>
  <si>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</si>
  <si>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766336267</t>
  </si>
  <si>
    <t>https://podminky.urs.cz/item/CS_URS_2022_01/919732211</t>
  </si>
  <si>
    <t>100</t>
  </si>
  <si>
    <t>919735111</t>
  </si>
  <si>
    <t>Řezání stávajícího živičného krytu nebo podkladu hloubky do 50 mm</t>
  </si>
  <si>
    <t>-1689590930</t>
  </si>
  <si>
    <t>https://podminky.urs.cz/item/CS_URS_2022_01/919735111</t>
  </si>
  <si>
    <t>101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</si>
  <si>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</si>
  <si>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</si>
  <si>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-951592849</t>
  </si>
  <si>
    <t>https://podminky.urs.cz/item/CS_URS_2022_02/935112211</t>
  </si>
  <si>
    <t>102</t>
  </si>
  <si>
    <t>59227029</t>
  </si>
  <si>
    <t>žlabovka příkopová betonová 500x680x60mm</t>
  </si>
  <si>
    <t>-1616044305</t>
  </si>
  <si>
    <t>54*1,02 'Přepočtené koeficientem množství</t>
  </si>
  <si>
    <t>103</t>
  </si>
  <si>
    <t>961044111</t>
  </si>
  <si>
    <t>Bourání základů z betonu prostého</t>
  </si>
  <si>
    <t>392466013</t>
  </si>
  <si>
    <t>https://podminky.urs.cz/item/CS_URS_2022_02/961044111</t>
  </si>
  <si>
    <t>"bourání zděného přístřešku na popelnice"15</t>
  </si>
  <si>
    <t>104</t>
  </si>
  <si>
    <t>961055111</t>
  </si>
  <si>
    <t>Bourání základů z betonu železového</t>
  </si>
  <si>
    <t>1344626914</t>
  </si>
  <si>
    <t>https://podminky.urs.cz/item/CS_URS_2022_02/961055111</t>
  </si>
  <si>
    <t>"bourání zděného přístřešku na popelnice - železobetonová střecha"6</t>
  </si>
  <si>
    <t>105</t>
  </si>
  <si>
    <t>962032230</t>
  </si>
  <si>
    <t>Bourání zdiva nadzákladového z cihel nebo tvárnic z cihel pálených nebo vápenopískových, na maltu vápennou nebo vápenocementovou, objemu do 1 m3</t>
  </si>
  <si>
    <t>-764579294</t>
  </si>
  <si>
    <t>https://podminky.urs.cz/item/CS_URS_2022_02/962032230</t>
  </si>
  <si>
    <t>"bourání zděného přístřešku pro popelnice"10</t>
  </si>
  <si>
    <t>106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</si>
  <si>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</si>
  <si>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</si>
  <si>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911209186</t>
  </si>
  <si>
    <t>https://podminky.urs.cz/item/CS_URS_2022_02/966006132</t>
  </si>
  <si>
    <t>107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</si>
  <si>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</si>
  <si>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</si>
  <si>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139610846</t>
  </si>
  <si>
    <t>https://podminky.urs.cz/item/CS_URS_2022_02/966006211</t>
  </si>
  <si>
    <t>108</t>
  </si>
  <si>
    <t>976085211</t>
  </si>
  <si>
    <t>Vybourání drobných zámečnických a jiných konstrukcí kanalizačních rámů litinových, z rýhovaného plechu nebo betonových včetně poklopů nebo mříží, plochy do 0,30 m2</t>
  </si>
  <si>
    <t>-1363238103</t>
  </si>
  <si>
    <t>https://podminky.urs.cz/item/CS_URS_2022_02/976085211</t>
  </si>
  <si>
    <t>997</t>
  </si>
  <si>
    <t>Přesun sutě</t>
  </si>
  <si>
    <t>109</t>
  </si>
  <si>
    <t>997013863</t>
  </si>
  <si>
    <t>Poplatek za uložení stavebního odpadu na recyklační skládce (skládkovné) cihelného zatříděného do Katalogu odpadů pod kódem 17 01 02</t>
  </si>
  <si>
    <t>2138172380</t>
  </si>
  <si>
    <t>https://podminky.urs.cz/item/CS_URS_2022_02/997013863</t>
  </si>
  <si>
    <t>"zděný přístřešek pro popelnice"18</t>
  </si>
  <si>
    <t>110</t>
  </si>
  <si>
    <t>997221551</t>
  </si>
  <si>
    <t>Vodorovná doprava suti bez naložení, ale se složením a s hrubým urovnáním ze sypkých materiálů, na vzdálenost do 1 km</t>
  </si>
  <si>
    <t>2082948476</t>
  </si>
  <si>
    <t>https://podminky.urs.cz/item/CS_URS_2022_02/997221551</t>
  </si>
  <si>
    <t>"odstraněná štěrkodrť z chodníku - odvoz na mezideponii - bude použito do násypu objektu SO 110"87</t>
  </si>
  <si>
    <t>"odstraněná štěrkodrť z parkovacího stání - odvoz na mezideponii - bude použito do násypu objektu SO 110"82,94</t>
  </si>
  <si>
    <t>"odstraněná štěrkodrť z komunikace - odvoz na mezideponii - bude použito do násypu objektu SO 110"216,04</t>
  </si>
  <si>
    <t>111</t>
  </si>
  <si>
    <t>-1379064812</t>
  </si>
  <si>
    <t>"odstraněný R-materiál z chodníku - odvoz na skládku, předpoklad 20 km"51</t>
  </si>
  <si>
    <t>"odstraněný asfaltobeton z chodníku - odvoz na skládku, předpoklad 20 km"25,48</t>
  </si>
  <si>
    <t>"odstraněný asfaltobeton z komunikace a parkovacího stání - odvoz na skládku, předpoklad 20 km"99,935+187,68</t>
  </si>
  <si>
    <t>"demolovaný přístřešek pro popelnice"30+14,4+18</t>
  </si>
  <si>
    <t>112</t>
  </si>
  <si>
    <t>997221559</t>
  </si>
  <si>
    <t>Vodorovná doprava suti bez naložení, ale se složením a s hrubým urovnáním Příplatek k ceně za každý další i započatý 1 km přes 1 km</t>
  </si>
  <si>
    <t>2067649924</t>
  </si>
  <si>
    <t>https://podminky.urs.cz/item/CS_URS_2022_02/997221559</t>
  </si>
  <si>
    <t>426,495*19 'Přepočtené koeficientem množství</t>
  </si>
  <si>
    <t>113</t>
  </si>
  <si>
    <t>997221561</t>
  </si>
  <si>
    <t>Vodorovná doprava suti bez naložení, ale se složením a s hrubým urovnáním z kusových materiálů, na vzdálenost do 1 km</t>
  </si>
  <si>
    <t>1696884010</t>
  </si>
  <si>
    <t>https://podminky.urs.cz/item/CS_URS_2022_02/997221561</t>
  </si>
  <si>
    <t>"vybouraná dlažba na skládku"10,2</t>
  </si>
  <si>
    <t>"vybourané panely na skládku"16,8</t>
  </si>
  <si>
    <t>"vybouraná UV"0,24*2,2</t>
  </si>
  <si>
    <t>"vybourané obruby na skládku"41,63+77,285</t>
  </si>
  <si>
    <t>114</t>
  </si>
  <si>
    <t>997221569</t>
  </si>
  <si>
    <t>1868501451</t>
  </si>
  <si>
    <t>https://podminky.urs.cz/item/CS_URS_2022_02/997221569</t>
  </si>
  <si>
    <t>146,443*19 'Přepočtené koeficientem množství</t>
  </si>
  <si>
    <t>115</t>
  </si>
  <si>
    <t>997221861</t>
  </si>
  <si>
    <t>Poplatek za uložení stavebního odpadu na recyklační skládce (skládkovné) z prostého betonu zatříděného do Katalogu odpadů pod kódem 17 01 01</t>
  </si>
  <si>
    <t>-1046434850</t>
  </si>
  <si>
    <t>https://podminky.urs.cz/item/CS_URS_2022_02/997221861</t>
  </si>
  <si>
    <t>"vybouraná UV na skládku"0,24*2,2</t>
  </si>
  <si>
    <t>"bourání základů zděného přístřešku pro popelnice"30</t>
  </si>
  <si>
    <t>"bourání železobetonové střechy přístřešku pro popelnice"14,4</t>
  </si>
  <si>
    <t>116</t>
  </si>
  <si>
    <t>997221873</t>
  </si>
  <si>
    <t>Poplatek za uložení stavebního odpadu na recyklační skládce (skládkovné) zeminy a kamení zatříděného do Katalogu odpadů pod kódem 17 05 04</t>
  </si>
  <si>
    <t>-377344367</t>
  </si>
  <si>
    <t>https://podminky.urs.cz/item/CS_URS_2022_02/997221873</t>
  </si>
  <si>
    <t>"nevhodná zemina z neúnosného podloží"838,8*1,6</t>
  </si>
  <si>
    <t>117</t>
  </si>
  <si>
    <t>997221875</t>
  </si>
  <si>
    <t>Poplatek za uložení stavebního odpadu na recyklační skládce (skládkovné) asfaltového bez obsahu dehtu zatříděného do Katalogu odpadů pod kódem 17 03 02</t>
  </si>
  <si>
    <t>1138119845</t>
  </si>
  <si>
    <t>https://podminky.urs.cz/item/CS_URS_2022_02/997221875</t>
  </si>
  <si>
    <t>998</t>
  </si>
  <si>
    <t>Přesun hmot</t>
  </si>
  <si>
    <t>118</t>
  </si>
  <si>
    <t>998223011</t>
  </si>
  <si>
    <t>Přesun hmot pro pozemní komunikace s krytem dlážděným dopravní vzdálenost do 200 m jakékoliv délky objektu</t>
  </si>
  <si>
    <t>262385691</t>
  </si>
  <si>
    <t>https://podminky.urs.cz/item/CS_URS_2022_02/998223011</t>
  </si>
  <si>
    <t>PSV</t>
  </si>
  <si>
    <t>Práce a dodávky PSV</t>
  </si>
  <si>
    <t>767</t>
  </si>
  <si>
    <t>Konstrukce zámečnické</t>
  </si>
  <si>
    <t>119</t>
  </si>
  <si>
    <t>767996801</t>
  </si>
  <si>
    <t>Demontáž ostatních zámečnických konstrukcí o hmotnosti jednotlivých dílů rozebráním do 50 kg</t>
  </si>
  <si>
    <t>kg</t>
  </si>
  <si>
    <t>-1514364216</t>
  </si>
  <si>
    <t>https://podminky.urs.cz/item/CS_URS_2022_02/767996801</t>
  </si>
  <si>
    <t>"demontáž stávajícího klepače na koberce"63,5</t>
  </si>
  <si>
    <t>SO 110 - Chodníky</t>
  </si>
  <si>
    <t xml:space="preserve">    3 - Svislé a kompletní konstrukce</t>
  </si>
  <si>
    <t>1762355427</t>
  </si>
  <si>
    <t>"chodník, dlažba tl. 60 mm"243</t>
  </si>
  <si>
    <t>-402285741</t>
  </si>
  <si>
    <t>"betonové panely tl. 200"53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</si>
  <si>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</si>
  <si>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</si>
  <si>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1444953182</t>
  </si>
  <si>
    <t>https://podminky.urs.cz/item/CS_URS_2022_02/113107321</t>
  </si>
  <si>
    <t>"chodník - konstrukční vrstva z kameniva drceného, tl. 40 mm"252</t>
  </si>
  <si>
    <t>"vytěžený materiál bude odvezen na mezideponii a použit do násypu"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</si>
  <si>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</si>
  <si>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</si>
  <si>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170545262</t>
  </si>
  <si>
    <t>https://podminky.urs.cz/item/CS_URS_2022_02/113107322</t>
  </si>
  <si>
    <t>"chodník - konstrukční vrstva z kameniva drceného, tl. 150 mm"665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</si>
  <si>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</si>
  <si>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</si>
  <si>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-1504888895</t>
  </si>
  <si>
    <t>https://podminky.urs.cz/item/CS_URS_2022_02/113107331</t>
  </si>
  <si>
    <t>"rozebrání dlažeb kladených do MC - tl. 120 mm"9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</si>
  <si>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</si>
  <si>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</si>
  <si>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1676365130</t>
  </si>
  <si>
    <t>https://podminky.urs.cz/item/CS_URS_2022_02/113107341</t>
  </si>
  <si>
    <t>"chodník - obrusná asfaltová vrstva, tl. 40 mm"413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</si>
  <si>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</si>
  <si>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</si>
  <si>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-307212446</t>
  </si>
  <si>
    <t>https://podminky.urs.cz/item/CS_URS_2022_02/113107342</t>
  </si>
  <si>
    <t>"chodník - R-materiál tl. 60 mm"413</t>
  </si>
  <si>
    <t>-192786866</t>
  </si>
  <si>
    <t>122251104</t>
  </si>
  <si>
    <t>Odkopávky a prokopávky nezapažené strojně v hornině třídy těžitelnosti I skupiny 3 přes 100 do 500 m3</t>
  </si>
  <si>
    <t>-1282480734</t>
  </si>
  <si>
    <t>https://podminky.urs.cz/item/CS_URS_2022_02/122251104</t>
  </si>
  <si>
    <t>"chodník na rovině"45</t>
  </si>
  <si>
    <t>"chodník ve svahu se schodištěm"368</t>
  </si>
  <si>
    <t>"odkop neúnosného podloží pro sjezd na tl. 0,4 m (položka čerpatelná pouze se souhlasem investora)"73*0,4</t>
  </si>
  <si>
    <t>"odkop neúnosného podloží pro chodník - lokální místa vybraná na stavbě tl. 0,2 m (položka čerpatelná pouze se souhlasem investora)"600*0,2</t>
  </si>
  <si>
    <t>132251101</t>
  </si>
  <si>
    <t>Hloubení nezapažených rýh šířky do 800 mm strojně s urovnáním dna do předepsaného profilu a spádu v hornině třídy těžitelnosti I skupiny 3 do 20 m3</t>
  </si>
  <si>
    <t>-278544837</t>
  </si>
  <si>
    <t>https://podminky.urs.cz/item/CS_URS_2022_02/132251101</t>
  </si>
  <si>
    <t>"rýha pro základ palisády a schodiště"25</t>
  </si>
  <si>
    <t>-409143644</t>
  </si>
  <si>
    <t>"zemina z odkopávky z objektu SO 110 na mezideponii"413</t>
  </si>
  <si>
    <t>"zemina z hloubené rýhy z objektu SO 110  na mezideponii"25</t>
  </si>
  <si>
    <t>"přemístění zeminy do násypu z mezideponie"568,55+438+18+32,25+69</t>
  </si>
  <si>
    <t>1423643719</t>
  </si>
  <si>
    <t>"zemina z neúnosného podloží na skládku - předpoklad do 20 km"149,2</t>
  </si>
  <si>
    <t>-1617956085</t>
  </si>
  <si>
    <t>149,2*10 'Přepočtené koeficientem množství</t>
  </si>
  <si>
    <t>1361862007</t>
  </si>
  <si>
    <t>"nakládání zeminy do násypu z mezideponie"655,63</t>
  </si>
  <si>
    <t>171151111</t>
  </si>
  <si>
    <t>Uložení sypanin do násypů strojně s rozprostřením sypaniny ve vrstvách a s hrubým urovnáním zhutněných z hornin nesoudržných sypkých</t>
  </si>
  <si>
    <t>1445394157</t>
  </si>
  <si>
    <t>https://podminky.urs.cz/item/CS_URS_2022_02/171151111</t>
  </si>
  <si>
    <t>"chodník na rovině"20</t>
  </si>
  <si>
    <t>"chodník ve svahu se schodištěm"1133</t>
  </si>
  <si>
    <t>"zásyp po pilotáži do úrovně původního terénu"154</t>
  </si>
  <si>
    <t>-1850894639</t>
  </si>
  <si>
    <t>"zemina z odkopávky z objektu SO 110"413</t>
  </si>
  <si>
    <t>"zemina z hloubené rýhy z objektu SO 110"25</t>
  </si>
  <si>
    <t>1587964356</t>
  </si>
  <si>
    <t>1029+73+35</t>
  </si>
  <si>
    <t>271532212</t>
  </si>
  <si>
    <t>Podsyp pod základové konstrukce se zhutněním a urovnáním povrchu z kameniva hrubého, frakce 16 - 32 mm</t>
  </si>
  <si>
    <t>-1380314111</t>
  </si>
  <si>
    <t>https://podminky.urs.cz/item/CS_URS_2022_02/271532212</t>
  </si>
  <si>
    <t>"pod schodišťové stupně"8</t>
  </si>
  <si>
    <t>273321511</t>
  </si>
  <si>
    <t>Základy z betonu železového (bez výztuže) desky z betonu bez zvláštních nároků na prostředí tř. C 25/30</t>
  </si>
  <si>
    <t>-1553205926</t>
  </si>
  <si>
    <t>https://podminky.urs.cz/item/CS_URS_2022_02/273321511</t>
  </si>
  <si>
    <t>"pod schodišťové stupně"10</t>
  </si>
  <si>
    <t>273362021</t>
  </si>
  <si>
    <t>Výztuž základů desek ze svařovaných sítí z drátů typu KARI"</t>
  </si>
  <si>
    <t>-372976821</t>
  </si>
  <si>
    <t>https://podminky.urs.cz/item/CS_URS_2022_02/273362021</t>
  </si>
  <si>
    <t>10*0,1 'Přepočtené koeficientem množství</t>
  </si>
  <si>
    <t>274313611</t>
  </si>
  <si>
    <t>Základy z betonu prostého pasy betonu kamenem neprokládaného tř. C 16/20</t>
  </si>
  <si>
    <t>1158542815</t>
  </si>
  <si>
    <t>https://podminky.urs.cz/item/CS_URS_2022_02/274313611</t>
  </si>
  <si>
    <t>"betonové patky pro zábradlí - 70 ks"70*0,3*0,3*0,5</t>
  </si>
  <si>
    <t>Svislé a kompletní konstrukce</t>
  </si>
  <si>
    <t>339921133</t>
  </si>
  <si>
    <t>Osazování palisád betonových v řadě se zabetonováním výšky palisády přes 1000 do 1500 mm</t>
  </si>
  <si>
    <t>1113343036</t>
  </si>
  <si>
    <t>https://podminky.urs.cz/item/CS_URS_2022_02/339921133</t>
  </si>
  <si>
    <t>"betonová palisáda 1200x180x120"13</t>
  </si>
  <si>
    <t>59228426-1</t>
  </si>
  <si>
    <t>palisáda betonová tyčová půlkulatá barevná 180x200x1200mm</t>
  </si>
  <si>
    <t>-1310094391</t>
  </si>
  <si>
    <t>13*5,715 'Přepočtené koeficientem množství</t>
  </si>
  <si>
    <t>434121426</t>
  </si>
  <si>
    <t>Osazování schodišťových stupňů železobetonových s vyspárováním styčných spár, s provizorním dřevěným zábradlím a dočasným zakrytím stupnic prkny na desku, stupňů drsných</t>
  </si>
  <si>
    <t>1507841461</t>
  </si>
  <si>
    <t>https://podminky.urs.cz/item/CS_URS_2022_02/434121426</t>
  </si>
  <si>
    <t>"délka stupňů x počet stupňů"2*(10+16+10+16)</t>
  </si>
  <si>
    <t>59373757-1</t>
  </si>
  <si>
    <t>stupeň schodišťový nosný ŽB 2000x350x150 mm</t>
  </si>
  <si>
    <t>-1303615350</t>
  </si>
  <si>
    <t>564851111</t>
  </si>
  <si>
    <t>Podklad ze štěrkodrti ŠD s rozprostřením a zhutněním plochy přes 100 m2, po zhutnění tl. 150 mm</t>
  </si>
  <si>
    <t>-2085613637</t>
  </si>
  <si>
    <t>https://podminky.urs.cz/item/CS_URS_2022_02/564851111</t>
  </si>
  <si>
    <t>"chodník"1029</t>
  </si>
  <si>
    <t>"chodníkový přejezd"73</t>
  </si>
  <si>
    <t>"v místě podzemních kontejnérů"35</t>
  </si>
  <si>
    <t>-1786049449</t>
  </si>
  <si>
    <t>"výměna neúnosného podloží tl. 400 mm pro sjezd (položka čerpatelná pouze se souhlasem investora)"2*73</t>
  </si>
  <si>
    <t>"odkop neúnosného podloží pro chodník - lokální místa vybraná na stavbě tl. 0,2 m (položka čerpatelná pouze se souhlasem investora)"600</t>
  </si>
  <si>
    <t>346294705</t>
  </si>
  <si>
    <t>"Chodníkový přejezd"73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</si>
  <si>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</si>
  <si>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</si>
  <si>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1261799627</t>
  </si>
  <si>
    <t>https://podminky.urs.cz/item/CS_URS_2022_01/596211111</t>
  </si>
  <si>
    <t>"chodník"</t>
  </si>
  <si>
    <t>"200x100x60 mm přírodní"1007</t>
  </si>
  <si>
    <t>"200x100x60 mm barevná, reliefní"22</t>
  </si>
  <si>
    <t>"v místě podzemních kontejnérů"</t>
  </si>
  <si>
    <t>"200x100x60 mm přírodní"35</t>
  </si>
  <si>
    <t>59245006</t>
  </si>
  <si>
    <t>dlažba tvar obdélník betonová pro nevidomé 200x100x60mm barevná</t>
  </si>
  <si>
    <t>-511957550</t>
  </si>
  <si>
    <t>"chodník"22</t>
  </si>
  <si>
    <t>22*1,02 'Přepočtené koeficientem množství</t>
  </si>
  <si>
    <t>59245018</t>
  </si>
  <si>
    <t>dlažba tvar obdélník betonová 200x100x60mm přírodní</t>
  </si>
  <si>
    <t>48643355</t>
  </si>
  <si>
    <t>"chodník"1007</t>
  </si>
  <si>
    <t>1042*1,02 'Přepočtené koeficientem množství</t>
  </si>
  <si>
    <t>-1513777734</t>
  </si>
  <si>
    <t>"chodníkový přejezd"</t>
  </si>
  <si>
    <t>"200x100x80 mm - přírodní"24</t>
  </si>
  <si>
    <t>"200x100x80 mm - barevná, reliefní"15</t>
  </si>
  <si>
    <t>"200x200x80 mm - barevna, vodící linie s podélnými drážkami"34*0,4</t>
  </si>
  <si>
    <t>59245004-1</t>
  </si>
  <si>
    <t>dlažba tvar čtverec betonová 200x200x80mm barevná - vodící linie s podélnými drážkami</t>
  </si>
  <si>
    <t>-2049150021</t>
  </si>
  <si>
    <t>13,6*1,02 'Přepočtené koeficientem množství</t>
  </si>
  <si>
    <t>-427110022</t>
  </si>
  <si>
    <t>24*1,02 'Přepočtené koeficientem množství</t>
  </si>
  <si>
    <t>59245226</t>
  </si>
  <si>
    <t>dlažba tvar obdélník betonová pro nevidomé 200x100x80mm barevná</t>
  </si>
  <si>
    <t>1319958279</t>
  </si>
  <si>
    <t>15*1,02 'Přepočtené koeficientem množství</t>
  </si>
  <si>
    <t>911121111</t>
  </si>
  <si>
    <t>Montáž zábradlí ocelového přichyceného vruty do betonového podkladu</t>
  </si>
  <si>
    <t>618413150</t>
  </si>
  <si>
    <t>https://podminky.urs.cz/item/CS_URS_2022_02/911121111</t>
  </si>
  <si>
    <t>"u bezbariérového chodníku"69</t>
  </si>
  <si>
    <t>"u schodiště"7+12+7+12</t>
  </si>
  <si>
    <t>"nad opěrnou stěnou"58</t>
  </si>
  <si>
    <t>63126080_R00</t>
  </si>
  <si>
    <t>ocelové zábradlí výška 1,1 m, výška madla 0,9m, povrchová úprava pozink + nátěr</t>
  </si>
  <si>
    <t>-207697382</t>
  </si>
  <si>
    <t>1763337906</t>
  </si>
  <si>
    <t>"100/10/20"654</t>
  </si>
  <si>
    <t>-668956483</t>
  </si>
  <si>
    <t>654*1,02 'Přepočtené koeficientem množství</t>
  </si>
  <si>
    <t>-1151211986</t>
  </si>
  <si>
    <t>615332810</t>
  </si>
  <si>
    <t>89*1,02 'Přepočtené koeficientem množství</t>
  </si>
  <si>
    <t>935113211-R</t>
  </si>
  <si>
    <t>Osazení odvodňovacího betonového žlabu 500x680x60 mm s krycím roštem žlabu vč. dodávky žlabu a krycího roštu</t>
  </si>
  <si>
    <t>1834813536</t>
  </si>
  <si>
    <t>-1139784689</t>
  </si>
  <si>
    <t>"odstraněná štěrkodrť z chodníku (z objektu SO 110) dovoz na mezideponii"42,84+192,85</t>
  </si>
  <si>
    <t>"odstraněná štěrkodrť z chodníku (z objektu SO 110) dovoz z mezideponie"42,84+192,85</t>
  </si>
  <si>
    <t>"dovoz odstraněné štěrkodrti (z objektu SO 100) pro uložení do násypu dovoz z mezideponie"385,98</t>
  </si>
  <si>
    <t>-1653848858</t>
  </si>
  <si>
    <t>"odstraněný asfaltobeton z chodníku - odvoz na skládku, předpoklad 20 km"40,474</t>
  </si>
  <si>
    <t>"odstraněný R-materiálu z chodníku - odvoz na skládku, předpoklad 20 km"90,86</t>
  </si>
  <si>
    <t>-488773922</t>
  </si>
  <si>
    <t>131,334*19 'Přepočtené koeficientem množství</t>
  </si>
  <si>
    <t>864970628</t>
  </si>
  <si>
    <t>"vybouraná dlažba ve štěrkovém loži na skládku"61,965</t>
  </si>
  <si>
    <t>"vybourané panely na skládku"21,2</t>
  </si>
  <si>
    <t>"vybouraná dlažba ve loži z MC na skládku"2,925</t>
  </si>
  <si>
    <t>"vybourané obruby na skládku"116,44</t>
  </si>
  <si>
    <t>1920204200</t>
  </si>
  <si>
    <t>202,53*19 'Přepočtené koeficientem množství</t>
  </si>
  <si>
    <t>997221611</t>
  </si>
  <si>
    <t>Nakládání na dopravní prostředky pro vodorovnou dopravu suti</t>
  </si>
  <si>
    <t>358457437</t>
  </si>
  <si>
    <t>https://podminky.urs.cz/item/CS_URS_2022_02/997221611</t>
  </si>
  <si>
    <t>"nakládání odstraněné štěrkodrti (z objektu SO 100) pro uložení do násypu objektu SO 110 na mezideponii"358,98</t>
  </si>
  <si>
    <t>"nakládání odstraněné štěrkodrti (z objektu SO 110) pro uložení do násypu objektu SO 110 na mezideponii"42,84+192,85</t>
  </si>
  <si>
    <t>-1302631572</t>
  </si>
  <si>
    <t>-1290437158</t>
  </si>
  <si>
    <t>149,2*1,6 'Přepočtené koeficientem množství</t>
  </si>
  <si>
    <t>117354662</t>
  </si>
  <si>
    <t>1732406776</t>
  </si>
  <si>
    <t>SO 200 - Opěrná stěna</t>
  </si>
  <si>
    <t xml:space="preserve">    711 - Izolace proti vodě, vlhkosti a plynům</t>
  </si>
  <si>
    <t>181951112</t>
  </si>
  <si>
    <t>Úprava pláně vyrovnáním výškových rozdílů strojně v hornině třídy těžitelnosti I, skupiny 1 až 3 se zhutněním</t>
  </si>
  <si>
    <t>2107773746</t>
  </si>
  <si>
    <t>https://podminky.urs.cz/item/CS_URS_2022_02/181951112</t>
  </si>
  <si>
    <t>"úprava základové spáry"57*3</t>
  </si>
  <si>
    <t>-1034709207</t>
  </si>
  <si>
    <t>"(délka*šířka*hloubka)"60*0,6*0,5</t>
  </si>
  <si>
    <t>"odpočet trativodu"-60*3,14*0,05*0,05</t>
  </si>
  <si>
    <t>212792211</t>
  </si>
  <si>
    <t>Odvodnění mostní opěry z plastových trub drenážní potrubí flexibilní DN 100</t>
  </si>
  <si>
    <t>816097904</t>
  </si>
  <si>
    <t>https://podminky.urs.cz/item/CS_URS_2022_02/212792211</t>
  </si>
  <si>
    <t>"drenáž za opěrnou zdí"60</t>
  </si>
  <si>
    <t>212972112</t>
  </si>
  <si>
    <t>Opláštění drenážních trub filtrační textilií DN 100</t>
  </si>
  <si>
    <t>1276836103</t>
  </si>
  <si>
    <t>https://podminky.urs.cz/item/CS_URS_2022_02/212972112</t>
  </si>
  <si>
    <t>Poznámka k položce:
Opláštění trativodu - 120 m2</t>
  </si>
  <si>
    <t>226112113</t>
  </si>
  <si>
    <t>Velkoprofilové vrty náběrovým vrtáním svislé nezapažené průměru přes 550 do 650 mm, v hl od 0 do 5 m v hornině tř. III</t>
  </si>
  <si>
    <t>1596375351</t>
  </si>
  <si>
    <t>https://podminky.urs.cz/item/CS_URS_2022_02/226112113</t>
  </si>
  <si>
    <t>227211113</t>
  </si>
  <si>
    <t>Odpažení velkoprofilových vrtů průměru přes 550 do 650 mm</t>
  </si>
  <si>
    <t>-1017675031</t>
  </si>
  <si>
    <t>https://podminky.urs.cz/item/CS_URS_2022_02/227211113</t>
  </si>
  <si>
    <t>231212112</t>
  </si>
  <si>
    <t>Zřízení výplně pilot zapažených s vytažením pažnic z vrtu svislých z betonu železového, v hl od 0 do 10 m, při průměru piloty přes 450 do 650 mm</t>
  </si>
  <si>
    <t>376002389</t>
  </si>
  <si>
    <t>https://podminky.urs.cz/item/CS_URS_2022_02/231212112</t>
  </si>
  <si>
    <t>"vrty pro piloty ø630 mm"264,5</t>
  </si>
  <si>
    <t>589329361</t>
  </si>
  <si>
    <t>beton C 25/30 XF1 XA1 kamenivo frakce 0/16</t>
  </si>
  <si>
    <t>-1439434358</t>
  </si>
  <si>
    <t>231611114</t>
  </si>
  <si>
    <t>Výztuž pilot betonovaných do země z oceli 10 505 (R)</t>
  </si>
  <si>
    <t>1865495053</t>
  </si>
  <si>
    <t>https://podminky.urs.cz/item/CS_URS_2022_02/231611114</t>
  </si>
  <si>
    <t>274313911</t>
  </si>
  <si>
    <t>Základy z betonu prostého pasy betonu kamenem neprokládaného tř. C 30/37</t>
  </si>
  <si>
    <t>320700810</t>
  </si>
  <si>
    <t>https://podminky.urs.cz/item/CS_URS_2022_02/274313911</t>
  </si>
  <si>
    <t>Poznámka k položce:
C30/37 XC4 XF3</t>
  </si>
  <si>
    <t>311322611</t>
  </si>
  <si>
    <t>Nadzákladové zdi z betonu železového (bez výztuže) nosné odolného proti agresivnímu prostředí tř. C 30/37</t>
  </si>
  <si>
    <t>426818337</t>
  </si>
  <si>
    <t>https://podminky.urs.cz/item/CS_URS_2022_02/311322611</t>
  </si>
  <si>
    <t>Poznámka k položce:
C 30/37 XC4 XF3</t>
  </si>
  <si>
    <t>311351121</t>
  </si>
  <si>
    <t>Bednění nadzákladových zdí nosných rovné oboustranné za každou stranu zřízení</t>
  </si>
  <si>
    <t>-1460769675</t>
  </si>
  <si>
    <t>https://podminky.urs.cz/item/CS_URS_2022_02/311351121</t>
  </si>
  <si>
    <t>311351122</t>
  </si>
  <si>
    <t>Bednění nadzákladových zdí nosných rovné oboustranné za každou stranu odstranění</t>
  </si>
  <si>
    <t>895681986</t>
  </si>
  <si>
    <t>https://podminky.urs.cz/item/CS_URS_2022_02/311351122</t>
  </si>
  <si>
    <t>311361821</t>
  </si>
  <si>
    <t>Výztuž nadzákladových zdí nosných svislých nebo odkloněných od svislice, rovných nebo oblých z betonářské oceli 10 505 (R) nebo BSt 500</t>
  </si>
  <si>
    <t>942481184</t>
  </si>
  <si>
    <t>https://podminky.urs.cz/item/CS_URS_2022_02/311361821</t>
  </si>
  <si>
    <t>311362021</t>
  </si>
  <si>
    <t>Výztuž nadzákladových zdí nosných svislých nebo odkloněných od svislice, rovných nebo oblých ze svařovaných sítí z drátů typu KARI</t>
  </si>
  <si>
    <t>-1347975978</t>
  </si>
  <si>
    <t>https://podminky.urs.cz/item/CS_URS_2022_02/311362021</t>
  </si>
  <si>
    <t>451315124</t>
  </si>
  <si>
    <t>Podkladní a výplňové vrstvy z betonu prostého tloušťky do 150 mm, z betonu C 12/15</t>
  </si>
  <si>
    <t>828961651</t>
  </si>
  <si>
    <t>https://podminky.urs.cz/item/CS_URS_2022_02/451315124</t>
  </si>
  <si>
    <t>"beton C8/10"34,7</t>
  </si>
  <si>
    <t>2143391327</t>
  </si>
  <si>
    <t>953241111</t>
  </si>
  <si>
    <t>Osazení smykových trnů do dilatačních spár jednoduchých pro nižší zatížení z nerezové nebo pozinkované oceli bez pouzdra, průměr 20 mm</t>
  </si>
  <si>
    <t>-161668</t>
  </si>
  <si>
    <t>https://podminky.urs.cz/item/CS_URS_2022_02/953241111</t>
  </si>
  <si>
    <t>54879302</t>
  </si>
  <si>
    <t>trn pro přenos smykové síly u dilatačních spár pro nižší zatížení nerez bez pouzdra D 20mm</t>
  </si>
  <si>
    <t>-1833667883</t>
  </si>
  <si>
    <t>953312125</t>
  </si>
  <si>
    <t>Vložky svislé do dilatačních spár z polystyrenových desek extrudovaných včetně dodání a osazení, v jakémkoliv zdivu přes 40 do 50 mm</t>
  </si>
  <si>
    <t>1995525729</t>
  </si>
  <si>
    <t>https://podminky.urs.cz/item/CS_URS_2022_02/953312125</t>
  </si>
  <si>
    <t>998212111</t>
  </si>
  <si>
    <t>Přesun hmot pro mosty zděné, betonové monolitické, spřažené ocelobetonové nebo kovové vodorovná dopravní vzdálenost do 100 m výška mostu do 20 m</t>
  </si>
  <si>
    <t>1963006372</t>
  </si>
  <si>
    <t>https://podminky.urs.cz/item/CS_URS_2022_02/998212111</t>
  </si>
  <si>
    <t>711</t>
  </si>
  <si>
    <t>Izolace proti vodě, vlhkosti a plynům</t>
  </si>
  <si>
    <t>711112002</t>
  </si>
  <si>
    <t>Provedení izolace proti zemní vlhkosti natěradly a tmely za studena na ploše svislé S nátěrem lakem asfaltovým</t>
  </si>
  <si>
    <t>505381428</t>
  </si>
  <si>
    <t>https://podminky.urs.cz/item/CS_URS_2022_02/711112002</t>
  </si>
  <si>
    <t>11163152</t>
  </si>
  <si>
    <t>lak hydroizolační asfaltový</t>
  </si>
  <si>
    <t>-1842267633</t>
  </si>
  <si>
    <t>160*0,00041 'Přepočtené koeficientem množství</t>
  </si>
  <si>
    <t>F03</t>
  </si>
  <si>
    <t>Sejmutí ornice plochy do 100 m2 tl vrstvy přes 250 do 300 mm strojně</t>
  </si>
  <si>
    <t>F102</t>
  </si>
  <si>
    <t>Hloubení jam zapažených v hornině třídy těžitelnosti I skupiny 3 objem do 500 m3 strojně</t>
  </si>
  <si>
    <t>273,42</t>
  </si>
  <si>
    <t>F101</t>
  </si>
  <si>
    <t>Hloubení zapažených rýh š do 2000 mm v hornině třídy těžitelnosti I skupiny 3 objem do 500 m3</t>
  </si>
  <si>
    <t>371,411</t>
  </si>
  <si>
    <t>F02</t>
  </si>
  <si>
    <t>Hloubení šachet v hornině třídy těžitelnosti I skupiny 3 plocha výkopu do 4 m2 ručně</t>
  </si>
  <si>
    <t>19,8</t>
  </si>
  <si>
    <t>F016</t>
  </si>
  <si>
    <t>Zřízení zátažného pažení a rozepření stěn rýh hl přes 2 do 4 m</t>
  </si>
  <si>
    <t>759,306</t>
  </si>
  <si>
    <t>F07</t>
  </si>
  <si>
    <t>Vodorovné přemístění do 10000 m výkopku/sypaniny z horniny tř. 1 až 4</t>
  </si>
  <si>
    <t>664,631</t>
  </si>
  <si>
    <t>F011</t>
  </si>
  <si>
    <t>Lože pod potrubí otevřený výkop z kameniva drobného těženého 0 - 8 mm</t>
  </si>
  <si>
    <t>22,455</t>
  </si>
  <si>
    <t>SO 300 - Kanalizace dešťová</t>
  </si>
  <si>
    <t>F012</t>
  </si>
  <si>
    <t>Podkladní desky z betonu prostého tř. C 12/15 otevřený výkop</t>
  </si>
  <si>
    <t>10,557</t>
  </si>
  <si>
    <t>F013</t>
  </si>
  <si>
    <t>Obsypání potrubí strojně sypaninou bez prohození, uloženou do 3 m</t>
  </si>
  <si>
    <t>107,8</t>
  </si>
  <si>
    <t>F105</t>
  </si>
  <si>
    <t>523,819</t>
  </si>
  <si>
    <t>F3</t>
  </si>
  <si>
    <t>separační geotextilie</t>
  </si>
  <si>
    <t>F4</t>
  </si>
  <si>
    <t>Ochranná geotextiliue</t>
  </si>
  <si>
    <t>192</t>
  </si>
  <si>
    <t>F5</t>
  </si>
  <si>
    <t>Osazení betonových pražců otevřený výkop pl do 25000 mm2</t>
  </si>
  <si>
    <t>ks</t>
  </si>
  <si>
    <t>F1</t>
  </si>
  <si>
    <t>potrubí z trub TZH DN 300</t>
  </si>
  <si>
    <t>F010</t>
  </si>
  <si>
    <t>Montáž potrubí z trub kameninových hrdlových DN 150</t>
  </si>
  <si>
    <t>F2</t>
  </si>
  <si>
    <t>KT DN 200</t>
  </si>
  <si>
    <t>27,5</t>
  </si>
  <si>
    <t>115101201</t>
  </si>
  <si>
    <t>Čerpání vody na dopravní výšku do 10 m s uvažovaným průměrným přítokem do 500 l/min</t>
  </si>
  <si>
    <t>hod</t>
  </si>
  <si>
    <t>-720952285</t>
  </si>
  <si>
    <t>https://podminky.urs.cz/item/CS_URS_2022_02/115101201</t>
  </si>
  <si>
    <t>121151105</t>
  </si>
  <si>
    <t>Sejmutí ornice strojně při souvislé ploše do 100 m2, tl. vrstvy přes 250 do 300 mm</t>
  </si>
  <si>
    <t>1159273804</t>
  </si>
  <si>
    <t>https://podminky.urs.cz/item/CS_URS_2022_02/121151105</t>
  </si>
  <si>
    <t>14,0*10,0 * 0,60  "%</t>
  </si>
  <si>
    <t>131251204</t>
  </si>
  <si>
    <t>Hloubení zapažených jam a zářezů strojně s urovnáním dna do předepsaného profilu a spádu v hornině třídy těžitelnosti I skupiny 3 přes 100 do 500 m3</t>
  </si>
  <si>
    <t>1573264907</t>
  </si>
  <si>
    <t>https://podminky.urs.cz/item/CS_URS_2022_02/131251204</t>
  </si>
  <si>
    <t>(14,0*(8,0+2*0,50))*(2,62-0,45)    "retenčně vsakovací objekt</t>
  </si>
  <si>
    <t>132254204</t>
  </si>
  <si>
    <t>Hloubení zapažených rýh šířky přes 800 do 2 000 mm strojně s urovnáním dna do předepsaného profilu a spádu v hornině třídy těžitelnosti I skupiny 3 přes 100 do 500 m3</t>
  </si>
  <si>
    <t>-2010852023</t>
  </si>
  <si>
    <t>https://podminky.urs.cz/item/CS_URS_2022_02/132254204</t>
  </si>
  <si>
    <t>(110,60 + 4,10-14,0)*1,20*(2,62-0,45)   "kanalizační řad</t>
  </si>
  <si>
    <t>(39,90+27,50)*1,20*(1,80-0,45)     "přípojky UV</t>
  </si>
  <si>
    <t>133212821</t>
  </si>
  <si>
    <t>Hloubení zapažených šachet ručně v horninách třídy těžitelnosti I skupiny 3, půdorysná plocha výkopu do 4 m2</t>
  </si>
  <si>
    <t>-244812028</t>
  </si>
  <si>
    <t>https://podminky.urs.cz/item/CS_URS_2022_02/133212821</t>
  </si>
  <si>
    <t>(3,20-0,45)*(1,20+2*0,60)*(1,80+2*0,60)  "horská vpust</t>
  </si>
  <si>
    <t>151201102</t>
  </si>
  <si>
    <t>Zřízení pažení a rozepření stěn rýh pro podzemní vedení zátažné, hloubky přes 2 do 4 m</t>
  </si>
  <si>
    <t>-596737344</t>
  </si>
  <si>
    <t>https://podminky.urs.cz/item/CS_URS_2022_02/151201102</t>
  </si>
  <si>
    <t>((110,60 + 4,10-14,0)*(2,62-0,45)) * 2   "kanalizační řad</t>
  </si>
  <si>
    <t>((39,90+27,50)*(1,80-0,45))*2     "přípojky UV</t>
  </si>
  <si>
    <t>(14,0+(8,0+2*0,60))*(2,62-0,45) * 2    "retenčně vsakovací objekt</t>
  </si>
  <si>
    <t>(1,20+2*0,60)*(1,80+2*0,60)*(3,20-0,45) * 2  "horská vpust</t>
  </si>
  <si>
    <t>151201112</t>
  </si>
  <si>
    <t>Odstranění pažení a rozepření stěn rýh pro podzemní vedení s uložením materiálu na vzdálenost do 3 m od kraje výkopu zátažné, hloubky přes 2 do 4 m</t>
  </si>
  <si>
    <t>-1086613754</t>
  </si>
  <si>
    <t>https://podminky.urs.cz/item/CS_URS_2022_02/151201112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</si>
  <si>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</si>
  <si>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</si>
  <si>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-394538907</t>
  </si>
  <si>
    <t>https://podminky.urs.cz/item/CS_URS_2022_02/162251102</t>
  </si>
  <si>
    <t>F03*0,30 * 2 "tam a zpět</t>
  </si>
  <si>
    <t>-838283925</t>
  </si>
  <si>
    <t>1288857193</t>
  </si>
  <si>
    <t>F07*10</t>
  </si>
  <si>
    <t>167151101</t>
  </si>
  <si>
    <t>Nakládání, skládání a překládání neulehlého výkopku nebo sypaniny strojně nakládání, množství do 100 m3, z horniny třídy těžitelnosti I, skupiny 1 až 3</t>
  </si>
  <si>
    <t>1445850530</t>
  </si>
  <si>
    <t>https://podminky.urs.cz/item/CS_URS_2022_02/167151101</t>
  </si>
  <si>
    <t>F03*0,30</t>
  </si>
  <si>
    <t>171201201</t>
  </si>
  <si>
    <t>Uložení sypaniny na skládky</t>
  </si>
  <si>
    <t>-869161527</t>
  </si>
  <si>
    <t>171201231</t>
  </si>
  <si>
    <t>-1434019407</t>
  </si>
  <si>
    <t>https://podminky.urs.cz/item/CS_URS_2022_02/171201231</t>
  </si>
  <si>
    <t>F07*1,600</t>
  </si>
  <si>
    <t>Zásyp sypaninou z jakékoliv horniny strojně s uložením výkopku ve vrstvách se zhutněním jam, šachet, rýh nebo kolem objektů v těchto vykopávkách</t>
  </si>
  <si>
    <t>-1298413956</t>
  </si>
  <si>
    <t>https://podminky.urs.cz/item/CS_URS_2022_02/174151101</t>
  </si>
  <si>
    <t>F101    "rýha</t>
  </si>
  <si>
    <t>F102    "jáma pro RN</t>
  </si>
  <si>
    <t>F02     "HV</t>
  </si>
  <si>
    <t>-F011    "lože</t>
  </si>
  <si>
    <t>-F012    "podkladní betonové desky</t>
  </si>
  <si>
    <t>-F013     "obsyp</t>
  </si>
  <si>
    <t>-12,0*8,0*0,66   "RN</t>
  </si>
  <si>
    <t>F015</t>
  </si>
  <si>
    <t>58343930</t>
  </si>
  <si>
    <t>kamenivo drcené hrubé frakce 16/32</t>
  </si>
  <si>
    <t>-1809225263</t>
  </si>
  <si>
    <t>F105*1,800</t>
  </si>
  <si>
    <t>1491576052</t>
  </si>
  <si>
    <t>(110,60 + 4,10-14,0)*1,20*(0,36+0,30)   "kanalizační řad</t>
  </si>
  <si>
    <t>(39,90+27,50)*1,20*(0,20+0,30)     "přípojky UV</t>
  </si>
  <si>
    <t>-(PI*0,18*0,19*92)    "DN 300 TZH</t>
  </si>
  <si>
    <t>-(PI*0,17*0,17*1,60)    "DN 300 PP</t>
  </si>
  <si>
    <t>-(PI*0,09*0,09*((39,90+4,10)))    "DN 150 KT</t>
  </si>
  <si>
    <t>-(PI*0,12*0,12*27,50)    "DN 200 KT</t>
  </si>
  <si>
    <t>58337331</t>
  </si>
  <si>
    <t>štěrkopísek frakce 0/22</t>
  </si>
  <si>
    <t>1246931556</t>
  </si>
  <si>
    <t>180405114</t>
  </si>
  <si>
    <t>Založení trávníků ve vegetačních dlaždicích nebo prefabrikátech výsevem směsi substrátu a semene v rovině nebo na svahu do 1:5</t>
  </si>
  <si>
    <t>-1617143961</t>
  </si>
  <si>
    <t>https://podminky.urs.cz/item/CS_URS_2022_02/180405114</t>
  </si>
  <si>
    <t>00572420</t>
  </si>
  <si>
    <t>osivo směs travní parková okrasná</t>
  </si>
  <si>
    <t>316272042</t>
  </si>
  <si>
    <t>42*0,02 "Přepočtené koeficientem množství</t>
  </si>
  <si>
    <t>181351005</t>
  </si>
  <si>
    <t>Rozprostření a urovnání ornice v rovině nebo ve svahu sklonu do 1:5 strojně při souvislé ploše do 100 m2, tl. vrstvy přes 250 do 300 mm</t>
  </si>
  <si>
    <t>-1106094480</t>
  </si>
  <si>
    <t>https://podminky.urs.cz/item/CS_URS_2022_02/181351005</t>
  </si>
  <si>
    <t>213141111</t>
  </si>
  <si>
    <t>Zřízení vrstvy z geotextilie filtrační, separační, odvodňovací, ochranné, výztužné nebo protierozní v rovině nebo ve sklonu do 1:5, šířky do 3 m</t>
  </si>
  <si>
    <t>-928162772</t>
  </si>
  <si>
    <t>https://podminky.urs.cz/item/CS_URS_2022_02/213141111</t>
  </si>
  <si>
    <t>12,0*8,0         "separační geotextilie</t>
  </si>
  <si>
    <t>12,0*8,0 * 2     "ochranná geotextilie</t>
  </si>
  <si>
    <t>69311080</t>
  </si>
  <si>
    <t>geotextilie netkaná separační, ochranná, filtrační, drenážní PES 200g/m2</t>
  </si>
  <si>
    <t>1480455826</t>
  </si>
  <si>
    <t>96*1,1845 "Přepočtené koeficientem množství</t>
  </si>
  <si>
    <t>69311143</t>
  </si>
  <si>
    <t>geotextilie netkaná separační, ochranná, filtrační, drenážní PP 210g/m2</t>
  </si>
  <si>
    <t>-1991525767</t>
  </si>
  <si>
    <t>192*1,1845 "Přepočtené koeficientem množství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</si>
  <si>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</si>
  <si>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</si>
  <si>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-146465720</t>
  </si>
  <si>
    <t>https://podminky.urs.cz/item/CS_URS_2022_02/321311116</t>
  </si>
  <si>
    <t>(2,05*2+3,50+2*0,60) * 0,80    "práh u HV</t>
  </si>
  <si>
    <t>451572111</t>
  </si>
  <si>
    <t>Lože pod potrubí, stoky a drobné objekty v otevřeném výkopu z kameniva drobného těženého 0 až 4 mm</t>
  </si>
  <si>
    <t>896549278</t>
  </si>
  <si>
    <t>https://podminky.urs.cz/item/CS_URS_2022_02/451572111</t>
  </si>
  <si>
    <t>5,90*1,20*0,10    "stoka D1, DN 250</t>
  </si>
  <si>
    <t>1,60*1,20*0,10   "stoka D1, DN 300</t>
  </si>
  <si>
    <t>(39,90+4,10)*1,20*0,10   "přípojky DN 150</t>
  </si>
  <si>
    <t>27,50*1,20*0,10   "přípojky DN 200</t>
  </si>
  <si>
    <t>1,50*2,50*0,10    "HV</t>
  </si>
  <si>
    <t>14,0*9,0*0,10   "RN</t>
  </si>
  <si>
    <t>452111111</t>
  </si>
  <si>
    <t>Osazení betonových dílců pražců pod potrubí v otevřeném výkopu, průřezové plochy do 25000 mm2</t>
  </si>
  <si>
    <t>-1294057677</t>
  </si>
  <si>
    <t>https://podminky.urs.cz/item/CS_URS_2022_02/452111111</t>
  </si>
  <si>
    <t>92,0/2,5*1,14    "TZH DN 300</t>
  </si>
  <si>
    <t>44,0/1,0*1,14     "KT DN 150</t>
  </si>
  <si>
    <t>27,5/2,50*1,18    "KT DN 200</t>
  </si>
  <si>
    <t>-1091876352</t>
  </si>
  <si>
    <t>452112111</t>
  </si>
  <si>
    <t>Osazení betonových prstenců nebo rámů v do 100 mm</t>
  </si>
  <si>
    <t>239344632</t>
  </si>
  <si>
    <t>59224012</t>
  </si>
  <si>
    <t>prstenec šachtový vyrovnávací betonový 625x100x80mm</t>
  </si>
  <si>
    <t>-1143449885</t>
  </si>
  <si>
    <t>59224013</t>
  </si>
  <si>
    <t>prstenec šachtový vyrovnávací betonový 625x100x100mm</t>
  </si>
  <si>
    <t>2008665026</t>
  </si>
  <si>
    <t>-1332470140</t>
  </si>
  <si>
    <t>-622829908</t>
  </si>
  <si>
    <t>452311131</t>
  </si>
  <si>
    <t>Podkladní a zajišťovací konstrukce z betonu prostého v otevřeném výkopu desky pod potrubí, stoky a drobné objekty z betonu tř. C 12/15</t>
  </si>
  <si>
    <t>338804101</t>
  </si>
  <si>
    <t>https://podminky.urs.cz/item/CS_URS_2022_02/452311131</t>
  </si>
  <si>
    <t>92,0*1,20*0,08    "stoka D1, potrubí TZH DN 300</t>
  </si>
  <si>
    <t>1,50*1,50*0,10 * 6 "ks - šachty</t>
  </si>
  <si>
    <t>452311161</t>
  </si>
  <si>
    <t>Podkladní a zajišťovací konstrukce z betonu prostého v otevřeném výkopu desky pod potrubí, stoky a drobné objekty z betonu tř. C 25/30</t>
  </si>
  <si>
    <t>1179457029</t>
  </si>
  <si>
    <t>https://podminky.urs.cz/item/CS_URS_2022_02/452311161</t>
  </si>
  <si>
    <t>((0,90*0,60)*2+(0,60*3,0))*0,15</t>
  </si>
  <si>
    <t>452312151</t>
  </si>
  <si>
    <t>Podkladní a zajišťovací konstrukce z betonu prostého v otevřeném výkopu sedlové lože pod potrubí z betonu tř. C 20/25</t>
  </si>
  <si>
    <t>-1360974518</t>
  </si>
  <si>
    <t>https://podminky.urs.cz/item/CS_URS_2022_02/452312151</t>
  </si>
  <si>
    <t>92,0*0,115   "m3/bm DN 300 TZH</t>
  </si>
  <si>
    <t>452351101</t>
  </si>
  <si>
    <t>Bednění podkladních a zajišťovacích konstrukcí v otevřeném výkopu desek nebo sedlových loží pod potrubí, stoky a drobné objekty</t>
  </si>
  <si>
    <t>-794501427</t>
  </si>
  <si>
    <t>https://podminky.urs.cz/item/CS_URS_2022_02/452351101</t>
  </si>
  <si>
    <t>92,0*0,30 * 2    "TZH DN 300</t>
  </si>
  <si>
    <t>465513228</t>
  </si>
  <si>
    <t>Dlažba z lomového kamene lomařsky upraveného vodorovná nebo ve sklonu na cementovou maltu ze 400 kg cementu na m3 malty, s vyspárováním cementovou maltou MCs tl. 250 mm</t>
  </si>
  <si>
    <t>195937617</t>
  </si>
  <si>
    <t>https://podminky.urs.cz/item/CS_URS_2022_02/465513228</t>
  </si>
  <si>
    <t>(0,90*0,60)*2+0,60*3,0</t>
  </si>
  <si>
    <t>817374111</t>
  </si>
  <si>
    <t>Montáž betonových útesů s hrdlem na potrubí betonovém a železobetonovém DN 300</t>
  </si>
  <si>
    <t>1240823995</t>
  </si>
  <si>
    <t>https://podminky.urs.cz/item/CS_URS_2022_02/817374111</t>
  </si>
  <si>
    <t>822372112</t>
  </si>
  <si>
    <t>Montáž potrubí z trub železobetonových hrdlových v otevřeném výkopu ve sklonu do 20 % s integrovaným pryžovým těsněním DN 300</t>
  </si>
  <si>
    <t>1523974641</t>
  </si>
  <si>
    <t>https://podminky.urs.cz/item/CS_URS_2022_02/822372112</t>
  </si>
  <si>
    <t>59222020</t>
  </si>
  <si>
    <t>trouba ŽB hrdlová DN 300</t>
  </si>
  <si>
    <t>-62651906</t>
  </si>
  <si>
    <t>92*1,01 "Přepočtené koeficientem množství</t>
  </si>
  <si>
    <t>831312121</t>
  </si>
  <si>
    <t>Montáž potrubí z trub kameninových hrdlových s integrovaným těsněním v otevřeném výkopu ve sklonu do 20 % DN 150</t>
  </si>
  <si>
    <t>-690101580</t>
  </si>
  <si>
    <t>https://podminky.urs.cz/item/CS_URS_2022_02/831312121</t>
  </si>
  <si>
    <t>39,90     "Přípojky</t>
  </si>
  <si>
    <t>4,10      "dešťová kanalizace</t>
  </si>
  <si>
    <t>59710632</t>
  </si>
  <si>
    <t>trouba kameninová glazovaná DN 150 dl 1,00m spojovací systém F</t>
  </si>
  <si>
    <t>1849678287</t>
  </si>
  <si>
    <t>44*1,015 "Přepočtené koeficientem množství</t>
  </si>
  <si>
    <t>831352121</t>
  </si>
  <si>
    <t>Montáž potrubí z trub kameninových hrdlových s integrovaným těsněním v otevřeném výkopu ve sklonu do 20 % DN 200</t>
  </si>
  <si>
    <t>-1892165598</t>
  </si>
  <si>
    <t>https://podminky.urs.cz/item/CS_URS_2022_02/831352121</t>
  </si>
  <si>
    <t>27,50</t>
  </si>
  <si>
    <t>59710704</t>
  </si>
  <si>
    <t>trouba kameninová glazovaná DN 200 dl 2,50m spojovací systém C Třída 240</t>
  </si>
  <si>
    <t>-1833211620</t>
  </si>
  <si>
    <t>27,5*1,015 "Přepočtené koeficientem množství</t>
  </si>
  <si>
    <t>837311221</t>
  </si>
  <si>
    <t>Montáž kameninových tvarovek na potrubí z trub kameninových v otevřeném výkopu s integrovaným těsněním odbočných DN 150</t>
  </si>
  <si>
    <t>-381506754</t>
  </si>
  <si>
    <t>https://podminky.urs.cz/item/CS_URS_2022_02/837311221</t>
  </si>
  <si>
    <t>59710944</t>
  </si>
  <si>
    <t>koleno kameninové glazované DN 150 15° spojovací systém F</t>
  </si>
  <si>
    <t>-1842415448</t>
  </si>
  <si>
    <t>6*1,015 "Přepočtené koeficientem množství</t>
  </si>
  <si>
    <t>59710964</t>
  </si>
  <si>
    <t>koleno kameninové glazované DN 150 30° spojovací systém F</t>
  </si>
  <si>
    <t>1220491631</t>
  </si>
  <si>
    <t>59710984</t>
  </si>
  <si>
    <t>koleno kameninové glazované DN 150 45° spojovací systém F</t>
  </si>
  <si>
    <t>1851024677</t>
  </si>
  <si>
    <t>871360310</t>
  </si>
  <si>
    <t>Montáž kanalizačního potrubí z plastů z polypropylenu PP hladkého plnostěnného SN 10 DN 250</t>
  </si>
  <si>
    <t>-561285315</t>
  </si>
  <si>
    <t>https://podminky.urs.cz/item/CS_URS_2022_02/871360310</t>
  </si>
  <si>
    <t>28617021</t>
  </si>
  <si>
    <t>trubka kanalizační PP plnostěnná třívrstvá DN 250x6000mm SN10</t>
  </si>
  <si>
    <t>529111355</t>
  </si>
  <si>
    <t>6,9*1,015 "Přepočtené koeficientem množství</t>
  </si>
  <si>
    <t>871370310</t>
  </si>
  <si>
    <t>Montáž kanalizačního potrubí z plastů z polypropylenu PP hladkého plnostěnného SN 10 DN 300</t>
  </si>
  <si>
    <t>-2069860649</t>
  </si>
  <si>
    <t>https://podminky.urs.cz/item/CS_URS_2022_02/871370310</t>
  </si>
  <si>
    <t>28617006</t>
  </si>
  <si>
    <t>trubka kanalizační PP plnostěnná třívrstvá DN 300x1000mm SN10</t>
  </si>
  <si>
    <t>-1525627409</t>
  </si>
  <si>
    <t>1,6*1,015 "Přepočtené koeficientem množství</t>
  </si>
  <si>
    <t>892372111</t>
  </si>
  <si>
    <t>Tlakové zkoušky vodou zabezpečení konců potrubí při tlakových zkouškách DN do 300</t>
  </si>
  <si>
    <t>-2147331028</t>
  </si>
  <si>
    <t>https://podminky.urs.cz/item/CS_URS_2022_02/892372111</t>
  </si>
  <si>
    <t>892381111</t>
  </si>
  <si>
    <t>Tlakové zkoušky vodou na potrubí DN 250, 300 nebo 350</t>
  </si>
  <si>
    <t>-1574360705</t>
  </si>
  <si>
    <t>https://podminky.urs.cz/item/CS_URS_2022_02/892381111</t>
  </si>
  <si>
    <t>F1    "DN 300</t>
  </si>
  <si>
    <t>F2    "DN 200</t>
  </si>
  <si>
    <t>F010    "DN 150</t>
  </si>
  <si>
    <t>894201131</t>
  </si>
  <si>
    <t>Ostatní konstrukce na trubním vedení z prostého betonu dno šachet tloušťky přes 200 mm z betonu bez zvýšených nároků na prostředí tř. C 30/37</t>
  </si>
  <si>
    <t>656172913</t>
  </si>
  <si>
    <t>https://podminky.urs.cz/item/CS_URS_2022_02/894201131</t>
  </si>
  <si>
    <t>1,20*1,80*0,30     "dno HV</t>
  </si>
  <si>
    <t>894201231</t>
  </si>
  <si>
    <t>Ostatní konstrukce na trubním vedení z prostého betonu stěny šachet tloušťky přes 200 mm z betonu bez zvýšených nároků na prostředí tř. C 30/37</t>
  </si>
  <si>
    <t>1363248562</t>
  </si>
  <si>
    <t>https://podminky.urs.cz/item/CS_URS_2022_02/894201231</t>
  </si>
  <si>
    <t>(1,20*1,80)*2,90 - (0,60*1,20)*2,90</t>
  </si>
  <si>
    <t>894411221</t>
  </si>
  <si>
    <t>Zřízení šachet kanalizačních z betonových dílců výšky vstupu do 1,50 m s obložením dna kameninou nebo kanalizačními cihlami, na potrubí DN přes 200 do 300</t>
  </si>
  <si>
    <t>165259323</t>
  </si>
  <si>
    <t>https://podminky.urs.cz/item/CS_URS_2022_02/894411221</t>
  </si>
  <si>
    <t>PFB.1121104</t>
  </si>
  <si>
    <t>Konus TBR-Q.1 100-63/58/12 KPS</t>
  </si>
  <si>
    <t>-1070227398</t>
  </si>
  <si>
    <t>5   "Š</t>
  </si>
  <si>
    <t>59224075.R</t>
  </si>
  <si>
    <t>deska betonová zákrytová TZK-Q.1 100-63/17</t>
  </si>
  <si>
    <t>624251841</t>
  </si>
  <si>
    <t>59224065.R</t>
  </si>
  <si>
    <t>skruž betonová DN 1000x250, 100x25x12cm (TBS-Q.1 100/25)</t>
  </si>
  <si>
    <t>538907528</t>
  </si>
  <si>
    <t>5    "Š</t>
  </si>
  <si>
    <t>59224067.R</t>
  </si>
  <si>
    <t>skruž betonová DN 1000x500, 100x50x12cm (TBS-Q.1 100/50)</t>
  </si>
  <si>
    <t>-115776127</t>
  </si>
  <si>
    <t>59224162.R</t>
  </si>
  <si>
    <t>skruž kanalizační s ocelovými stupadly 100x100x12cm (TBS-Q.1 100/100)</t>
  </si>
  <si>
    <t>2135298930</t>
  </si>
  <si>
    <t>59224338.R</t>
  </si>
  <si>
    <t>dno kruhové betonové šachty kanalizační přímé TBZ-Q.1 100/800, výška do 800 mm</t>
  </si>
  <si>
    <t>1560681188</t>
  </si>
  <si>
    <t>59224339.R</t>
  </si>
  <si>
    <t>dno kruhové betonové šachty kanalizační přímé TBZ-Q.1 100/1000, výška do 1000 mm</t>
  </si>
  <si>
    <t>-219057481</t>
  </si>
  <si>
    <t>592243480.1</t>
  </si>
  <si>
    <t>těsnění elastometrové pro spojení šachetních dílů  EMT DN 1200</t>
  </si>
  <si>
    <t>-385825153</t>
  </si>
  <si>
    <t>894812321</t>
  </si>
  <si>
    <t>Revizní a čistící šachta z polypropylenu PP pro hladké trouby DN 600 šachtové dno (DN šachty / DN trubního vedení) DN 600/250 průtočné</t>
  </si>
  <si>
    <t>992428674</t>
  </si>
  <si>
    <t>https://podminky.urs.cz/item/CS_URS_2022_02/894812321</t>
  </si>
  <si>
    <t>894812333</t>
  </si>
  <si>
    <t>Revizní a čistící šachta z polypropylenu PP pro hladké trouby DN 600 roura šachtová korugovaná, světlé hloubky 3 000 mm</t>
  </si>
  <si>
    <t>-1366874746</t>
  </si>
  <si>
    <t>https://podminky.urs.cz/item/CS_URS_2022_02/894812333</t>
  </si>
  <si>
    <t>894812339</t>
  </si>
  <si>
    <t>Revizní a čistící šachta z polypropylenu PP pro hladké trouby DN 600 Příplatek k cenám 2331 - 2334 za uříznutí šachtové roury</t>
  </si>
  <si>
    <t>48100718</t>
  </si>
  <si>
    <t>https://podminky.urs.cz/item/CS_URS_2022_02/894812339</t>
  </si>
  <si>
    <t>894812377</t>
  </si>
  <si>
    <t>Revizní a čistící šachta z polypropylenu PP pro hladké trouby DN 600 poklop (mříž) litinový pro třídu zatížení D400 s teleskopickým adaptérem</t>
  </si>
  <si>
    <t>-177500528</t>
  </si>
  <si>
    <t>https://podminky.urs.cz/item/CS_URS_2022_02/894812377</t>
  </si>
  <si>
    <t>357827388</t>
  </si>
  <si>
    <t>59224470</t>
  </si>
  <si>
    <t>vpusť uliční DN 500 kaliště vysoké 500/525x65mm</t>
  </si>
  <si>
    <t>-1576621248</t>
  </si>
  <si>
    <t>783901747</t>
  </si>
  <si>
    <t>59224460</t>
  </si>
  <si>
    <t>vpusť uliční DN 500 betonová 500x190x65mm čtvercový poklop</t>
  </si>
  <si>
    <t>1944191093</t>
  </si>
  <si>
    <t>895941361</t>
  </si>
  <si>
    <t>Osazení vpusti uliční z betonových dílců DN 500 skruž středová 290 mm</t>
  </si>
  <si>
    <t>861438113</t>
  </si>
  <si>
    <t>https://podminky.urs.cz/item/CS_URS_2022_02/895941361</t>
  </si>
  <si>
    <t>59224461</t>
  </si>
  <si>
    <t>vpusť uliční DN 500 skruž průběžná nízká betonová 500/290x65mm</t>
  </si>
  <si>
    <t>-1787074430</t>
  </si>
  <si>
    <t>895941362</t>
  </si>
  <si>
    <t>Osazení vpusti uliční z betonových dílců DN 500 skruž středová 590 mm</t>
  </si>
  <si>
    <t>1283119556</t>
  </si>
  <si>
    <t>https://podminky.urs.cz/item/CS_URS_2022_02/895941362</t>
  </si>
  <si>
    <t>59224462</t>
  </si>
  <si>
    <t>vpusť uliční DN 500 skruž průběžná vysoká betonová 500/590x65mm</t>
  </si>
  <si>
    <t>548212850</t>
  </si>
  <si>
    <t>895941366</t>
  </si>
  <si>
    <t>Osazení vpusti uliční z betonových dílců DN 500 skruž průběžná s výtokem</t>
  </si>
  <si>
    <t>-742897084</t>
  </si>
  <si>
    <t>https://podminky.urs.cz/item/CS_URS_2022_02/895941366</t>
  </si>
  <si>
    <t>59224463</t>
  </si>
  <si>
    <t>vpusť uliční DN 500 skruž průběžná 500/590x65mm betonová s odtokem 150mm</t>
  </si>
  <si>
    <t>-603802520</t>
  </si>
  <si>
    <t>899103112</t>
  </si>
  <si>
    <t>Osazení poklopů litinových a ocelových včetně rámů pro třídu zatížení B125, C250</t>
  </si>
  <si>
    <t>2076111681</t>
  </si>
  <si>
    <t>https://podminky.urs.cz/item/CS_URS_2022_02/899103112</t>
  </si>
  <si>
    <t>55242330</t>
  </si>
  <si>
    <t>mříž D 400 - konkávní 600x600 4-stranný rám</t>
  </si>
  <si>
    <t>1236352890</t>
  </si>
  <si>
    <t>899104112</t>
  </si>
  <si>
    <t>Osazení poklopů litinových a ocelových včetně rámů pro třídu zatížení D400, E600</t>
  </si>
  <si>
    <t>-825287158</t>
  </si>
  <si>
    <t>https://podminky.urs.cz/item/CS_URS_2022_02/899104112</t>
  </si>
  <si>
    <t>63126039</t>
  </si>
  <si>
    <t>poklop šachtový s BEGU rámem a zámky kruhový, DN 600 D400</t>
  </si>
  <si>
    <t>-2037648933</t>
  </si>
  <si>
    <t>899204112</t>
  </si>
  <si>
    <t>Osazení mříží litinových včetně rámů a košů na bahno pro třídu zatížení D400, E600</t>
  </si>
  <si>
    <t>1719712662</t>
  </si>
  <si>
    <t>https://podminky.urs.cz/item/CS_URS_2022_02/899204112</t>
  </si>
  <si>
    <t>28661938</t>
  </si>
  <si>
    <t>mříž litinová 600/40T, 420X620 D400</t>
  </si>
  <si>
    <t>806069397</t>
  </si>
  <si>
    <t>899501221</t>
  </si>
  <si>
    <t>Stupadla do šachet a drobných objektů ocelová s PE povlakem vidlicová pro přímé zabudování do hmoždinek</t>
  </si>
  <si>
    <t>32315045</t>
  </si>
  <si>
    <t>https://podminky.urs.cz/item/CS_URS_2022_02/899501221</t>
  </si>
  <si>
    <t>899623141</t>
  </si>
  <si>
    <t>Obetonování potrubí nebo zdiva stok betonem prostým v otevřeném výkopu, betonem tř. C 12/15</t>
  </si>
  <si>
    <t>-709470784</t>
  </si>
  <si>
    <t>https://podminky.urs.cz/item/CS_URS_2022_02/899623141</t>
  </si>
  <si>
    <t xml:space="preserve">44,0*(0,280-0,03)  "m3/bm KT DN 150 </t>
  </si>
  <si>
    <t>27,50*(0,330-0,05)    "m3/bm KT DN 200</t>
  </si>
  <si>
    <t>899643111</t>
  </si>
  <si>
    <t>Bednění pro obetonování potrubí v otevřeném výkopu</t>
  </si>
  <si>
    <t>-1499764002</t>
  </si>
  <si>
    <t>https://podminky.urs.cz/item/CS_URS_2022_02/899643111</t>
  </si>
  <si>
    <t>44,0*0,20 * 2   "KT DN 150</t>
  </si>
  <si>
    <t>27,050*0,25 * 2    "KT DN 200</t>
  </si>
  <si>
    <t>PC335</t>
  </si>
  <si>
    <t>Retenčně vsakovací zařízení, RAUSIKKO Box 8.6 H (800/660/800 mm), vč. odvětrání, propojů, D+M</t>
  </si>
  <si>
    <t>987278013</t>
  </si>
  <si>
    <t>PC554</t>
  </si>
  <si>
    <t>Hrdlo - průchodka pro napojení KT DN 150 na DN 300 - TZH</t>
  </si>
  <si>
    <t>-1542912224</t>
  </si>
  <si>
    <t>998274101</t>
  </si>
  <si>
    <t>Přesun hmot pro trubní vedení hloubené z trub betonových nebo železobetonových pro vodovody nebo kanalizace v otevřeném výkopu dopravní vzdálenost do 15 m</t>
  </si>
  <si>
    <t>499754792</t>
  </si>
  <si>
    <t>https://podminky.urs.cz/item/CS_URS_2022_02/998274101</t>
  </si>
  <si>
    <t>SO 400.3 - Přeložka sdělovacích kabelů UPC</t>
  </si>
  <si>
    <t>132254104</t>
  </si>
  <si>
    <t>Hloubení zapažených rýh šířky do 800 mm strojně s urovnáním dna do předepsaného profilu a spádu v hornině třídy těžitelnosti I skupiny 3 přes 100 m3</t>
  </si>
  <si>
    <t>-1115940765</t>
  </si>
  <si>
    <t>https://podminky.urs.cz/item/CS_URS_2022_02/132254104</t>
  </si>
  <si>
    <t>"hloubení rýh pro přeložku stáv. kabelů UPC" 21*1,0*0,75</t>
  </si>
  <si>
    <t>"hloubení rýh pro odstranění vedení UPC" 22*1,0*0,75</t>
  </si>
  <si>
    <t>-1635400910</t>
  </si>
  <si>
    <t>"přemístění přebytečné zeminy do násypu objektu SO 110 na mezideponii"32,25</t>
  </si>
  <si>
    <t>623247422</t>
  </si>
  <si>
    <t xml:space="preserve">Poznámka k položce:
"přebytečná zemina na skládce" 
</t>
  </si>
  <si>
    <t>1252498445</t>
  </si>
  <si>
    <t>"zásyp rýhy po přeložku UPC" 21*1*0,75</t>
  </si>
  <si>
    <t>"zásyp rýhy po odstranění vedení UPC" 22*1*0,75</t>
  </si>
  <si>
    <t>"odpočet podsyp"-7,875</t>
  </si>
  <si>
    <t>58344197</t>
  </si>
  <si>
    <t>štěrkodrť frakce 0/63</t>
  </si>
  <si>
    <t>27414581</t>
  </si>
  <si>
    <t>24,375*2 'Přepočtené koeficientem množství</t>
  </si>
  <si>
    <t>594549820</t>
  </si>
  <si>
    <t>"štěrkopískový obsyp pro osazení vedení do nové polohy" 0,5*1*19</t>
  </si>
  <si>
    <t>58337310</t>
  </si>
  <si>
    <t>štěrkopísek frakce 0/4</t>
  </si>
  <si>
    <t>1420261334</t>
  </si>
  <si>
    <t>9,5*2 'Přepočtené koeficientem množství</t>
  </si>
  <si>
    <t>899722111</t>
  </si>
  <si>
    <t>Krytí potrubí z plastů výstražnou fólií z PVC šířky 20 cm</t>
  </si>
  <si>
    <t>1421438263</t>
  </si>
  <si>
    <t>https://podminky.urs.cz/item/CS_URS_2022_02/899722111</t>
  </si>
  <si>
    <t>R</t>
  </si>
  <si>
    <t>Odstranění odpojeného kabelu CETIN</t>
  </si>
  <si>
    <t>714126535</t>
  </si>
  <si>
    <t>"odstranění původního odpojeného vedení CETIN"30+17</t>
  </si>
  <si>
    <t>SO 400.4 - Přeložka sdělovacích kabelu AQUA a..s.</t>
  </si>
  <si>
    <t>M - Práce a dodávky M</t>
  </si>
  <si>
    <t xml:space="preserve">    46-M - Zemní práce při extr.mont.pracích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</si>
  <si>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</si>
  <si>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</si>
  <si>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-1777146989</t>
  </si>
  <si>
    <t>https://podminky.urs.cz/item/CS_URS_2022_02/119001421</t>
  </si>
  <si>
    <t>"zajištění a spuštění kabelové trasy o cca 1 m"19</t>
  </si>
  <si>
    <t>132212131</t>
  </si>
  <si>
    <t>Hloubení nezapažených rýh šířky do 800 mm ručně s urovnáním dna do předepsaného profilu a spádu v hornině třídy těžitelnosti I skupiny 3 soudržných</t>
  </si>
  <si>
    <t>1926156405</t>
  </si>
  <si>
    <t>https://podminky.urs.cz/item/CS_URS_2022_02/132212131</t>
  </si>
  <si>
    <t>"výkop pro výškovou úpravu AQUA - odpojeno v rámci samostatné činnosti"19*2*1</t>
  </si>
  <si>
    <t>-603815392</t>
  </si>
  <si>
    <t>"zemina pro zpětný zásyp - přesun na mezideponii"38</t>
  </si>
  <si>
    <t>"zemina pro zpětný zásyp - přesun z mezideponii"38</t>
  </si>
  <si>
    <t>1635075068</t>
  </si>
  <si>
    <t>"zemina pro zpětný zásyp - nákladání na mezideponii"38</t>
  </si>
  <si>
    <t>221428008</t>
  </si>
  <si>
    <t>"zemina pro zpětný zásyp - uložení na mezideponii"38</t>
  </si>
  <si>
    <t>-1488127830</t>
  </si>
  <si>
    <t>"zásyp rýhy pro osazení vedení do nové výšky AQUA"19*2*1</t>
  </si>
  <si>
    <t>Práce a dodávky M</t>
  </si>
  <si>
    <t>46-M</t>
  </si>
  <si>
    <t>Zemní práce při extr.mont.pracích</t>
  </si>
  <si>
    <t>460661114</t>
  </si>
  <si>
    <t>Kabelové lože z písku včetně podsypu, zhutnění a urovnání povrchu pro kabely nn bez zakrytí, šířky přes 65 do 80 cm</t>
  </si>
  <si>
    <t>-1271341276</t>
  </si>
  <si>
    <t>https://podminky.urs.cz/item/CS_URS_2022_02/460661114</t>
  </si>
  <si>
    <t>460671114</t>
  </si>
  <si>
    <t>Výstražná fólie z PVC pro krytí kabelů včetně vyrovnání povrchu rýhy, rozvinutí a uložení fólie šířky do 40 cm</t>
  </si>
  <si>
    <t>1435614386</t>
  </si>
  <si>
    <t>https://podminky.urs.cz/item/CS_URS_2022_02/460671114</t>
  </si>
  <si>
    <t>SO 600 - Veřejné osvětlení</t>
  </si>
  <si>
    <t>512</t>
  </si>
  <si>
    <t>SO 900, 901 - Podzemní kontejnery, hrací prvky</t>
  </si>
  <si>
    <t>115101201R</t>
  </si>
  <si>
    <t>Čerpání vody ze stavební jámy</t>
  </si>
  <si>
    <t>-776832789</t>
  </si>
  <si>
    <t>131251103</t>
  </si>
  <si>
    <t>Hloubení nezapažených jam a zářezů strojně s urovnáním dna do předepsaného profilu a spádu v hornině třídy těžitelnosti I skupiny 3 přes 50 do 100 m3</t>
  </si>
  <si>
    <t>659811891</t>
  </si>
  <si>
    <t>https://podminky.urs.cz/item/CS_URS_2022_02/131251103</t>
  </si>
  <si>
    <t>-2103882447</t>
  </si>
  <si>
    <t>"zemina pro zpětný zásyp na mezideponii"25</t>
  </si>
  <si>
    <t>"zemina pro zpětný zásyp z mezideponie"25</t>
  </si>
  <si>
    <t>"zemina pro násyp objektu SO 110 na mezideponii"69</t>
  </si>
  <si>
    <t>-1517667091</t>
  </si>
  <si>
    <t>560721027</t>
  </si>
  <si>
    <t>-36255068</t>
  </si>
  <si>
    <t>19+6</t>
  </si>
  <si>
    <t>1132747253</t>
  </si>
  <si>
    <t>31*2 'Přepočtené koeficientem množství</t>
  </si>
  <si>
    <t>R01</t>
  </si>
  <si>
    <t>ODSTRANĚNÍ PÍSKOVIŠTĚ</t>
  </si>
  <si>
    <t>126191242</t>
  </si>
  <si>
    <t>R02</t>
  </si>
  <si>
    <t>KOLOTOČ NA SEZENÍ - DODÁVKA A MONTÁŽ</t>
  </si>
  <si>
    <t>-1526082103</t>
  </si>
  <si>
    <t>Poznámka k položce:
Kolotoč na sezení - půrměr 1,45 m</t>
  </si>
  <si>
    <t>R03</t>
  </si>
  <si>
    <t>HERNÍ SESTAVA PRO SKLUZAVKU - DODÁVKA A MONTÁŽ</t>
  </si>
  <si>
    <t>862319355</t>
  </si>
  <si>
    <t>Poznámka k položce:
Herní sestava se skluzavkou, celokovová (hnědá), v. p. 1 m</t>
  </si>
  <si>
    <t>R04</t>
  </si>
  <si>
    <t>PÍSKOVIŠTĚ S ROHOVÝMI SEDÁKY - DODÁVKA A MONTÁŽ</t>
  </si>
  <si>
    <t>-1956029340</t>
  </si>
  <si>
    <t>Poznámka k položce:
Pískoviště s rohovými sedáky, celokovové (hnědé), rozměr: 1,5 x 1,5 m</t>
  </si>
  <si>
    <t>R05</t>
  </si>
  <si>
    <t>HOUPADLO NA PRUŽINĚ - DODÁVKA A MONTÁŽ</t>
  </si>
  <si>
    <t>1960132419</t>
  </si>
  <si>
    <t>Poznámka k položce:
Houpadlo na pružině dvoumístné, Beruška (červené)</t>
  </si>
  <si>
    <t>R06</t>
  </si>
  <si>
    <t>PODZEMNÍ KONTEJNER OBJEM 3,0 M3 - DODÁVKA A MONTÁŽ</t>
  </si>
  <si>
    <t>781234402</t>
  </si>
  <si>
    <t>Poznámka k položce:
Podzemní kontejner vč. dopravy na místo uložení - objem 3,0 m3</t>
  </si>
  <si>
    <t>R07</t>
  </si>
  <si>
    <t>PODZEMNÍ KONTEJNER OBJEM 5,0 M3 - DODÁVKA A MONTÁŽ</t>
  </si>
  <si>
    <t>-1594763683</t>
  </si>
  <si>
    <t>Poznámka k položce:
Podzemní kontejner vč. dopravy na místo uložení - objem 5,0 m3</t>
  </si>
  <si>
    <t>R08</t>
  </si>
  <si>
    <t>PŘÍPLATEK ZA PŘEPÁŽKU PRO KONTEJNERY NA SKLO</t>
  </si>
  <si>
    <t>-1805371545</t>
  </si>
  <si>
    <t>Poznámka k položce:
Příplatek za přepážku pro kontejner na sklo</t>
  </si>
  <si>
    <t>R09</t>
  </si>
  <si>
    <t>PŘESUN STÁVAJÍCÍ LAVIČKY</t>
  </si>
  <si>
    <t>-1508049197</t>
  </si>
  <si>
    <t>R10</t>
  </si>
  <si>
    <t>ODSTRANĚNÍ PROVOZNÍHO ŘÁDU (1xCEDULE)</t>
  </si>
  <si>
    <t>962179925</t>
  </si>
  <si>
    <t>R11</t>
  </si>
  <si>
    <t>DEMONTÁŽ HERNÍCH PRVKŮ S PŘEDÁNÍM DO SKLADU INVESTORA</t>
  </si>
  <si>
    <t>-1461591210</t>
  </si>
  <si>
    <t>Poznámka k položce:
HOUPAČKA - 1 ks
HOUPAČKA SE SKLUZAVKOU - 1 ks
KOLOTOČ - 1 ks
ZVÍŘE NA PÉRU - 2 ks</t>
  </si>
  <si>
    <t>R12</t>
  </si>
  <si>
    <t>PŘESUN KONTEJNÉRŮ DO SKLADU INVESTORA</t>
  </si>
  <si>
    <t>-1438408141</t>
  </si>
  <si>
    <t>SEZNAM FIGUR</t>
  </si>
  <si>
    <t>Výměra</t>
  </si>
  <si>
    <t xml:space="preserve"> SO 300</t>
  </si>
  <si>
    <t>Použití figury:</t>
  </si>
  <si>
    <t>Montáž potrubí z trub kameninových hrdlových s integrovaným těsněním výkop sklon do 20 % DN 150</t>
  </si>
  <si>
    <t>Tlaková zkouška vodou potrubí DN 250, DN 300 nebo 350</t>
  </si>
  <si>
    <t>Lože pod potrubí otevřený výkop z kameniva drobného těženého</t>
  </si>
  <si>
    <t>Odstranění zátažného pažení a rozepření stěn rýh hl přes 2 do 4 m</t>
  </si>
  <si>
    <t>Hloubení zapažených šachet v hornině třídy těžitelnosti I skupiny 3 plocha výkopu do 4 m2 ručně</t>
  </si>
  <si>
    <t>Vodorovné přemístění přes 9 000 do 10000 m výkopku/sypaniny z horniny třídy těžitelnosti I skupiny 1 až 3</t>
  </si>
  <si>
    <t>Vodorovné přemístění přes 20 do 50 m výkopku/sypaniny z horniny třídy těžitelnosti I skupiny 1 až 3</t>
  </si>
  <si>
    <t>Nakládání výkopku z hornin třídy těžitelnosti I skupiny 1 až 3 do 100 m3</t>
  </si>
  <si>
    <t>Založení trávníku ve vegetačních prefabrikátech výsevem směsi substrátu a semene v rovině a ve svahu do 1:5</t>
  </si>
  <si>
    <t>Rozprostření ornice tl vrstvy přes 250 do 300 mm pl do 100 m2 v rovině nebo ve svahu do 1:5 strojně</t>
  </si>
  <si>
    <t>Příplatek k vodorovnému přemístění výkopku/sypaniny z horniny třídy těžitelnosti I skupiny 1 až 3 ZKD 1000 m přes 10000 m</t>
  </si>
  <si>
    <t>Poplatek za uložení zeminy a kamení na recyklační skládce (skládkovné) kód odpadu 17 05 04</t>
  </si>
  <si>
    <t>Montáž potrubí z trub TZH s integrovaným pryžovým těsněním otevřený výkop sklon do 20 % DN 300</t>
  </si>
  <si>
    <t>Montáž potrubí z trub kameninových hrdlových s integrovaným těsněním výkop sklon do 20 % DN 200</t>
  </si>
  <si>
    <t>Zřízení vrstvy z geotextilie v rovině nebo ve sklonu do 1:5 š do 3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</si>
  <si>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</si>
  <si>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</si>
  <si>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</si>
  <si>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</si>
  <si>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</si>
  <si>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</si>
  <si>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</si>
  <si>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</si>
  <si>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</si>
  <si>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</si>
  <si>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</si>
  <si>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</si>
  <si>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</si>
  <si>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</si>
  <si>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</si>
  <si>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</si>
  <si>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</si>
  <si>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</si>
  <si>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</si>
  <si>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</si>
  <si>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</si>
  <si>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</si>
  <si>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</si>
  <si>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</si>
  <si>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</si>
  <si>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</si>
  <si>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</si>
  <si>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</si>
  <si>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</si>
  <si>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</si>
  <si>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</si>
  <si>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</si>
  <si>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</si>
  <si>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</si>
  <si>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</si>
  <si>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</si>
  <si>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</si>
  <si>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</si>
  <si>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</si>
  <si>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</si>
  <si>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</si>
  <si>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</si>
  <si>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</si>
  <si>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</si>
  <si>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</si>
  <si>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</si>
  <si>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</si>
  <si>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</si>
  <si>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</si>
  <si>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</si>
  <si>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</si>
  <si>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</si>
  <si>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</si>
  <si>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</si>
  <si>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</si>
  <si>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</si>
  <si>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</si>
  <si>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</si>
  <si>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</si>
  <si>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</si>
  <si>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</si>
  <si>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</si>
  <si>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</si>
  <si>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</si>
  <si>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</si>
  <si>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</si>
  <si>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</si>
  <si>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</si>
  <si>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</si>
  <si>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</si>
  <si>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</si>
  <si>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</si>
  <si>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</si>
  <si>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</si>
  <si>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</si>
  <si>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</si>
  <si>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</si>
  <si>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</si>
  <si>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</si>
  <si>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</si>
  <si>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</si>
  <si>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</si>
  <si>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</si>
  <si>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</si>
  <si>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</si>
  <si>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</si>
  <si>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</si>
  <si>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</si>
  <si>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</si>
  <si>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</si>
  <si>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</si>
  <si>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</si>
  <si>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</si>
  <si>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</si>
  <si>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</si>
  <si>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</si>
  <si>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</si>
  <si>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</si>
  <si>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</si>
  <si>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</si>
  <si>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</si>
  <si>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</si>
  <si>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</si>
  <si>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</si>
  <si>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</si>
  <si>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</si>
  <si>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</si>
  <si>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</si>
  <si>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</si>
  <si>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</si>
  <si>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</si>
  <si>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</si>
  <si>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</si>
  <si>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</si>
  <si>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</si>
  <si>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</si>
  <si>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</si>
  <si>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</si>
  <si>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</si>
  <si>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</si>
  <si>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</si>
  <si>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</si>
  <si>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</si>
  <si>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</si>
  <si>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</si>
  <si>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</si>
  <si>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</si>
  <si>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</si>
  <si>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</si>
  <si>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</si>
  <si>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</si>
  <si>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</si>
  <si>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</si>
  <si>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</si>
  <si>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</si>
  <si>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</si>
  <si>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</si>
  <si>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</si>
  <si>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</si>
  <si>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</si>
  <si>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</si>
  <si>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</si>
  <si>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</si>
  <si>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</si>
  <si>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</si>
  <si>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</si>
  <si>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</si>
  <si>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</si>
  <si>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</si>
  <si>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</si>
  <si>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</si>
  <si>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</si>
  <si>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</si>
  <si>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</si>
  <si>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</si>
  <si>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</si>
  <si>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</si>
  <si>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</si>
  <si>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</si>
  <si>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</si>
  <si>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</si>
  <si>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</si>
  <si>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</si>
  <si>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</si>
  <si>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</si>
  <si>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</si>
  <si>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</si>
  <si>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</si>
  <si>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</si>
  <si>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</si>
  <si>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</si>
  <si>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</si>
  <si>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</si>
  <si>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</si>
  <si>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</si>
  <si>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</si>
  <si>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</si>
  <si>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</si>
  <si>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</si>
  <si>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</si>
  <si>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</si>
  <si>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</si>
  <si>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</si>
  <si>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</si>
  <si>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</si>
  <si>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Doplněné-Výkaz výměr - SO 600 Veřejné osvětlení  - </t>
  </si>
  <si>
    <t>Název stavby:</t>
  </si>
  <si>
    <t>Objednatel:</t>
  </si>
  <si>
    <t>IČO/DIČ:</t>
  </si>
  <si>
    <t>Druh stavby: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</si>
  <si>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</si>
  <si>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</si>
  <si>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</si>
  <si>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</si>
  <si>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</si>
  <si>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</si>
  <si>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</si>
  <si>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Rozpočtové náklady v Kč</t>
  </si>
  <si>
    <t>Základní rozpočtové náklady</t>
  </si>
  <si>
    <t>B</t>
  </si>
  <si>
    <t>Doplňkové náklady</t>
  </si>
  <si>
    <t>C</t>
  </si>
  <si>
    <t>Náklady na umístění stavby (NUS)</t>
  </si>
  <si>
    <t>Dodávky</t>
  </si>
  <si>
    <t>Práce přesčas</t>
  </si>
  <si>
    <t>Montáž</t>
  </si>
  <si>
    <t>Bez pevné podl.</t>
  </si>
  <si>
    <t>Mimostav. doprava</t>
  </si>
  <si>
    <t>Kulturní památka</t>
  </si>
  <si>
    <t>Územní vlivy</t>
  </si>
  <si>
    <t>Provozní vlivy</t>
  </si>
  <si>
    <t>"M"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</si>
  <si>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</si>
  <si>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</si>
  <si>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</si>
  <si>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</si>
  <si>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</si>
  <si>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</si>
  <si>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</si>
  <si>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</si>
  <si>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</si>
  <si>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</si>
  <si>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</si>
  <si>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</si>
  <si>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</si>
  <si>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</si>
  <si>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</si>
  <si>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</si>
  <si>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</si>
  <si>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Objednatel</t>
  </si>
  <si>
    <t>Zhotovitel</t>
  </si>
  <si>
    <t>Datum, razítko a podpis</t>
  </si>
  <si>
    <t>Stavební rozpočet - rekapitulace</t>
  </si>
  <si>
    <t>Doba výstavby:</t>
  </si>
  <si>
    <t>19.05.2021</t>
  </si>
  <si>
    <t>Zpracováno dne:</t>
  </si>
  <si>
    <t>Zkrácený popis</t>
  </si>
  <si>
    <t>Náklady (Kč) - dodávka</t>
  </si>
  <si>
    <t>Náklady (Kč) - Montáž</t>
  </si>
  <si>
    <t>Náklady (Kč) - celkem</t>
  </si>
  <si>
    <t>Celková hmotnost (t)</t>
  </si>
  <si>
    <t>0-M22</t>
  </si>
  <si>
    <t>Trubkování pro Smart City  veřejné osvětlení</t>
  </si>
  <si>
    <t>M22</t>
  </si>
  <si>
    <t>Montáže sdělovací a zabezpečovací techniky</t>
  </si>
  <si>
    <t>0-M46</t>
  </si>
  <si>
    <t>Zemní práce pro trubkování pro Smart City  VO</t>
  </si>
  <si>
    <t>M46</t>
  </si>
  <si>
    <t>Zemní práce při montážích</t>
  </si>
  <si>
    <t>M21</t>
  </si>
  <si>
    <t>Elektromontáže</t>
  </si>
  <si>
    <t>Hodinové zúčtovací sazby (HZS)</t>
  </si>
  <si>
    <t>Zemní práce VO</t>
  </si>
  <si>
    <t>Celkem:</t>
  </si>
  <si>
    <t>Stavební rozpočet</t>
  </si>
  <si>
    <t>Město Šumperk, zastoupený MěÚ Šumperk odborem RÚI,</t>
  </si>
  <si>
    <t> </t>
  </si>
  <si>
    <t>Grepl</t>
  </si>
  <si>
    <t>Č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</si>
  <si>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</si>
  <si>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</si>
  <si>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</si>
  <si>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</si>
  <si>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</si>
  <si>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</si>
  <si>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</si>
  <si>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</si>
  <si>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</si>
  <si>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</si>
  <si>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</si>
  <si>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</si>
  <si>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</si>
  <si>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</si>
  <si>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</si>
  <si>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</si>
  <si>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</si>
  <si>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</si>
  <si>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</si>
  <si>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</si>
  <si>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</si>
  <si>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</si>
  <si>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</si>
  <si>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</si>
  <si>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222085005R00</t>
  </si>
  <si>
    <t>Trubka HDPE do D40 v kabelové rýze</t>
  </si>
  <si>
    <t>RTS II / 2022</t>
  </si>
  <si>
    <t>M22_</t>
  </si>
  <si>
    <t>0-M22_9_</t>
  </si>
  <si>
    <t>0-M22_</t>
  </si>
  <si>
    <t>898011111RAA</t>
  </si>
  <si>
    <t>Montáž komory</t>
  </si>
  <si>
    <t>RTS I / 2022</t>
  </si>
  <si>
    <t>222085101R00</t>
  </si>
  <si>
    <t>Spojka trubky HDPE mechanická rozebíratelná</t>
  </si>
  <si>
    <t>222085111R00</t>
  </si>
  <si>
    <t>Koncovka trubky HDPE</t>
  </si>
  <si>
    <t>220110347R00</t>
  </si>
  <si>
    <t>Marker pro určení trasy kabelů HDPE</t>
  </si>
  <si>
    <t>222086051R00</t>
  </si>
  <si>
    <t>Mikrotrubička HDPE v kabelové rýze</t>
  </si>
  <si>
    <t>R345-R</t>
  </si>
  <si>
    <t>HDPE zelená 40/33</t>
  </si>
  <si>
    <t>VL</t>
  </si>
  <si>
    <t>Z99999_</t>
  </si>
  <si>
    <t>0-M22_Z_</t>
  </si>
  <si>
    <t>R345-2</t>
  </si>
  <si>
    <t>R345-3</t>
  </si>
  <si>
    <t>R345-4</t>
  </si>
  <si>
    <t>R345-5</t>
  </si>
  <si>
    <t>Mikrotrubička zelená D12/8</t>
  </si>
  <si>
    <t>komory Integrál 2436 - rozměry 800x1095xx1060, pozinkované dno</t>
  </si>
  <si>
    <t>133201101R00</t>
  </si>
  <si>
    <t>Hloubení šachet v hor.3 do 100 m3</t>
  </si>
  <si>
    <t>M46_</t>
  </si>
  <si>
    <t>0-M46_9_</t>
  </si>
  <si>
    <t>0-M46_</t>
  </si>
  <si>
    <t>905      R00</t>
  </si>
  <si>
    <t>Hzs-revize provoz.souboru a st.obj.</t>
  </si>
  <si>
    <t>h</t>
  </si>
  <si>
    <t>90_</t>
  </si>
  <si>
    <t>M21_9_</t>
  </si>
  <si>
    <t>M21_</t>
  </si>
  <si>
    <t>900      R00</t>
  </si>
  <si>
    <t>HZS-HZS-vytýčení stavajících sítí</t>
  </si>
  <si>
    <t>900      R45</t>
  </si>
  <si>
    <t>Hzs-geodetické zaměření</t>
  </si>
  <si>
    <t>Hzs dokumentace skutečného stavu</t>
  </si>
  <si>
    <t>210220022R00</t>
  </si>
  <si>
    <t>Vedení uzemňovací v zemi FeZn, D 8 - 10 mm</t>
  </si>
  <si>
    <t>210220302R00</t>
  </si>
  <si>
    <t>Svorka hromosvodová nad 2 šrouby /ST, SJ, SR, atd/</t>
  </si>
  <si>
    <t>210950201R00IM</t>
  </si>
  <si>
    <t>Příplatek na zatahování kabelů váhy do 0,75 kg</t>
  </si>
  <si>
    <t>210100258R00</t>
  </si>
  <si>
    <t>Ukončení celoplast. kabelů zákl./pás.do 5x4 mm2</t>
  </si>
  <si>
    <t>210100252R00</t>
  </si>
  <si>
    <t>Ukončení celoplast. kabelů zákl./pás.do 4x25 mm2</t>
  </si>
  <si>
    <t>210810055R00</t>
  </si>
  <si>
    <t>Kabel CYKY-m 750 V 5 x 1,5 mm2 pevně uložený</t>
  </si>
  <si>
    <t>210810014R00</t>
  </si>
  <si>
    <t>Kabel CYKY-m 750 V 4 žíly,16-25 mm2, volně uložený</t>
  </si>
  <si>
    <t>210204201R00</t>
  </si>
  <si>
    <t>Elektrovýzbroj stožáru</t>
  </si>
  <si>
    <t>210204002R00IM</t>
  </si>
  <si>
    <t>Stožár osvětlovací sadový - ocelový-demontáž</t>
  </si>
  <si>
    <t>210204002R00</t>
  </si>
  <si>
    <t>Stožár osvětlovací sadový - ocelový</t>
  </si>
  <si>
    <t>210204104RS2</t>
  </si>
  <si>
    <t>Výložník ocelový 1ramenný nad 35 kg</t>
  </si>
  <si>
    <t>210202115R00</t>
  </si>
  <si>
    <t>Svítidlo veřejného osvětlení parkové demontáž</t>
  </si>
  <si>
    <t>210202111R00</t>
  </si>
  <si>
    <t>Svítidlo veřejného osvětlení led</t>
  </si>
  <si>
    <t>Ukončení celoplast. kabelů zákl./pás.do 4x25 mm2 demontáž</t>
  </si>
  <si>
    <t>210810014R00IM</t>
  </si>
  <si>
    <t>Kabel volně uložený - demontáž</t>
  </si>
  <si>
    <t>34111090</t>
  </si>
  <si>
    <t>Kabel silový s Cu jádrem 750 V CYKY 5 x 1,5 mm2</t>
  </si>
  <si>
    <t>M21_Z_</t>
  </si>
  <si>
    <t>34111080</t>
  </si>
  <si>
    <t>Kabel silový s Cu jádrem 750 V CYKY 4 x 16 mm2</t>
  </si>
  <si>
    <t>15615235</t>
  </si>
  <si>
    <t>Drát tažený pozinkovaný 11 343  D 10,00 mm</t>
  </si>
  <si>
    <t>35441895</t>
  </si>
  <si>
    <t>Svorka připojovací SP  kovových částí d 6-12 mm</t>
  </si>
  <si>
    <t>35441996</t>
  </si>
  <si>
    <t>Svorka SR 3a</t>
  </si>
  <si>
    <t>3457114702</t>
  </si>
  <si>
    <t>Trubka kabelová chránička KOPOFLEX KF 09063</t>
  </si>
  <si>
    <t>3457114700</t>
  </si>
  <si>
    <t>Trubka kabelová chránička KOPOFLEX KF 09040</t>
  </si>
  <si>
    <t>3457114705</t>
  </si>
  <si>
    <t>Trubka kabelová chránička KOPOFLEX KF 09110</t>
  </si>
  <si>
    <t>31672186.A</t>
  </si>
  <si>
    <t>Stožár stupňovitý 159-102-60  5metru nad zemí</t>
  </si>
  <si>
    <t>Stožár stupňovitý 159-102-76-  5metru nad zemí</t>
  </si>
  <si>
    <t>316-vyložník</t>
  </si>
  <si>
    <t>AK VÝLOŽNÍK SK 2/76 - 300/180 SADOVÝ, LOMENÝ ŽÁR ZINEK</t>
  </si>
  <si>
    <t>31678615.A</t>
  </si>
  <si>
    <t>Svorkovnice stožárová EKM-1271-1D2-4X16 1xE27</t>
  </si>
  <si>
    <t>Svorkovnice stožárová EKM-1261-2D2-4X16-2CG-C3, 2xE27</t>
  </si>
  <si>
    <t>348141074IM</t>
  </si>
  <si>
    <t>Led svítidlo pouliční - stejný typ jako v lokalitě dle výpočtu osvětlení</t>
  </si>
  <si>
    <t>RTS I / 2021</t>
  </si>
  <si>
    <t>460010011RT2</t>
  </si>
  <si>
    <t>Vytýčení trasy nn vedení v přehled.terénu, v obci</t>
  </si>
  <si>
    <t>km</t>
  </si>
  <si>
    <t>M46_9_</t>
  </si>
  <si>
    <t>460100001RT1IMIM</t>
  </si>
  <si>
    <t>Pouzdrový základ 250x800 mm mimo osu trasy-demontáž</t>
  </si>
  <si>
    <t>460200163RT2</t>
  </si>
  <si>
    <t>Výkop kabelové rýhy 35/80 cm  hor.3</t>
  </si>
  <si>
    <t>460100001RT1</t>
  </si>
  <si>
    <t>Pouzdrový základ 250x800 mm mimo osu trasy</t>
  </si>
  <si>
    <t>460520039R00IMIM</t>
  </si>
  <si>
    <t>osazení chrániček do výkopu včetně dopravy</t>
  </si>
  <si>
    <t>460570163R00</t>
  </si>
  <si>
    <t>Zához rýhy 35/80 cm, hornina třídy 3, se zhutněním</t>
  </si>
  <si>
    <t>460600001RT8IMIM</t>
  </si>
  <si>
    <t>Naložení a odvoz zeminy</t>
  </si>
  <si>
    <t>460620013RT1</t>
  </si>
  <si>
    <t>Provizorní úprava terénu v přírodní hornině 3</t>
  </si>
  <si>
    <t>46001VDIMIM</t>
  </si>
  <si>
    <t>Poplatek za skladku</t>
  </si>
  <si>
    <t xml:space="preserve">Rozpočet </t>
  </si>
  <si>
    <t>RTS CÚ 2022/II</t>
  </si>
  <si>
    <t>Stavba :</t>
  </si>
  <si>
    <t>Regenerace panelového sídliště Prievidzská - 7.etapa</t>
  </si>
  <si>
    <t>Objekt :</t>
  </si>
  <si>
    <t>SO 800 Sadové úpravy</t>
  </si>
  <si>
    <t xml:space="preserve">REKAPITULACE  </t>
  </si>
  <si>
    <t>823-1</t>
  </si>
  <si>
    <t>Plochy a úpravy území</t>
  </si>
  <si>
    <t>Staveništní přesun hmot</t>
  </si>
  <si>
    <t>CELKEM bez DPH</t>
  </si>
  <si>
    <t>CELKEM  - Sadové úpravy s DPH</t>
  </si>
  <si>
    <t>P.č.</t>
  </si>
  <si>
    <t>Číslo položky</t>
  </si>
  <si>
    <t>Název položky</t>
  </si>
  <si>
    <t>množství</t>
  </si>
  <si>
    <t>cena / MJ</t>
  </si>
  <si>
    <t>celkem (Kč)</t>
  </si>
  <si>
    <t>hmot.(t)</t>
  </si>
  <si>
    <t>Díl:</t>
  </si>
  <si>
    <t>111201101R00</t>
  </si>
  <si>
    <t xml:space="preserve">Odstr křovin nad 1m s odstr.kořenů </t>
  </si>
  <si>
    <t>viz  technická zpráva kap.4.6.</t>
  </si>
  <si>
    <t>112101101R00</t>
  </si>
  <si>
    <t>Kácení stromů listnatých o průměru kmene 10-30 cm (nařezání kmene na 4m)</t>
  </si>
  <si>
    <t>ařezání na 4m)</t>
  </si>
  <si>
    <t>112101102R00</t>
  </si>
  <si>
    <t>Kácení stromů listnatých o průměru kmene 30-50 cm (nařezání kmene na 4m)</t>
  </si>
  <si>
    <t>112101103R00 </t>
  </si>
  <si>
    <t>Kácení stromů listnatých o průměru kmene 50-70 cm (nařezání kmene na 4m)</t>
  </si>
  <si>
    <t xml:space="preserve">111202213R00 </t>
  </si>
  <si>
    <t>Odfrézování pařezu, dřevina tvrdá, hl.20, D 30 cm  </t>
  </si>
  <si>
    <t xml:space="preserve">111202215R00 </t>
  </si>
  <si>
    <t>Odfrézování pařezu, dřevina tvrdá, hl.20, D 50 cm  </t>
  </si>
  <si>
    <t xml:space="preserve">111202217R00 </t>
  </si>
  <si>
    <t>Odfrézování pařezu, dřevina tvrdá, hl.20, D 70 cm  </t>
  </si>
  <si>
    <t>111251111R00  </t>
  </si>
  <si>
    <t>Drcení ořezaných větví průměru do 10 cm </t>
  </si>
  <si>
    <t xml:space="preserve"> (včetně naložení, odvozu a složení do 1 km)</t>
  </si>
  <si>
    <t>"keře" 359*3*0,005</t>
  </si>
  <si>
    <t>"mladé stromky" 300*8*0,01</t>
  </si>
  <si>
    <t>'"větve stromů  průměru kmene do 30cm"  17*0,025</t>
  </si>
  <si>
    <t>111251115R00  </t>
  </si>
  <si>
    <t>Drcení ořezaných větví průměru do 15 cm </t>
  </si>
  <si>
    <t>'"větve stromů  průměru kmene do 50cm"  24*0,1</t>
  </si>
  <si>
    <t>111251119R00  </t>
  </si>
  <si>
    <t>Drcení ořezaných větví průměru do 19 cm </t>
  </si>
  <si>
    <t>'"větve stromů  průměru kmene do 70cm"  1*0,2</t>
  </si>
  <si>
    <t>162201411R00   </t>
  </si>
  <si>
    <t>Vod.přemístění kmenů listnatých, D 30 cm do 1000 m  </t>
  </si>
  <si>
    <t>162201412R00   </t>
  </si>
  <si>
    <t>Vod.přemístění kmenů listnatých, D 50 cm do 1000 m  </t>
  </si>
  <si>
    <t>162201413R00  </t>
  </si>
  <si>
    <t>Vod.přemístění kmenů listnatých, D 70 cm do 1000 m  </t>
  </si>
  <si>
    <t>SML.CENA</t>
  </si>
  <si>
    <t>Nakládání výkopku z hor.1-4 v množství nad 100 m3 včetně nákupu zeminy</t>
  </si>
  <si>
    <t>viz kap.2.2 v tech.zprávě</t>
  </si>
  <si>
    <t>167101102R00</t>
  </si>
  <si>
    <t>Nakládání výkopku z hor.1-4 v množství nad 100 m3</t>
  </si>
  <si>
    <t>162401101R00</t>
  </si>
  <si>
    <t xml:space="preserve">Vodorovné přemístění výkopku z hor.1-4 do 500m  </t>
  </si>
  <si>
    <t>162501102R00</t>
  </si>
  <si>
    <t xml:space="preserve">Vodorovné přemístění výkopku z hor.1-4 do 3000m  </t>
  </si>
  <si>
    <t>183402111R00</t>
  </si>
  <si>
    <t>Rozrušení půdy do 15cm v rovině/svahu 1:5</t>
  </si>
  <si>
    <t>keře</t>
  </si>
  <si>
    <t xml:space="preserve">trávník </t>
  </si>
  <si>
    <t>183402112R00</t>
  </si>
  <si>
    <t>Rozrušení půdy do 15cm ve svahu 1:2</t>
  </si>
  <si>
    <t>traviny</t>
  </si>
  <si>
    <t>181301112R00</t>
  </si>
  <si>
    <t>Rozprostření ornice, rovina, tl. 15 cm, nad 500m2</t>
  </si>
  <si>
    <t>181301122R00</t>
  </si>
  <si>
    <t>Rozprostření ornice, ve svahu, tl. 15 cm, do 500m2</t>
  </si>
  <si>
    <t>181301105R00</t>
  </si>
  <si>
    <t>Rozprostření ornice, v rovině, tl. do 30 cm, do 500m2</t>
  </si>
  <si>
    <t>181301125R00</t>
  </si>
  <si>
    <t>Rozprostření ornice, ve svahu , tl. do 30 cm, do 500m2</t>
  </si>
  <si>
    <t>183403153R00</t>
  </si>
  <si>
    <t xml:space="preserve">Obdělání půdy hrabáním v rovině </t>
  </si>
  <si>
    <t>183403253R00</t>
  </si>
  <si>
    <t>Obdělání půdy hrabáním ve svahu 1:2</t>
  </si>
  <si>
    <t>183403114R00</t>
  </si>
  <si>
    <t>Obdělání půdy kultivátorováním v rovině  </t>
  </si>
  <si>
    <t>183403115R00</t>
  </si>
  <si>
    <t>Obdělání půdy kultivátorováním ve svahu </t>
  </si>
  <si>
    <t xml:space="preserve">Chemické odplevelení před založením kultury postřikem vč.postřiku </t>
  </si>
  <si>
    <t>keře 1032*2</t>
  </si>
  <si>
    <t>traviny 60*2</t>
  </si>
  <si>
    <t>trávník  1290*2</t>
  </si>
  <si>
    <t>180402111R00</t>
  </si>
  <si>
    <t>Založení trávníku parkového výsevem v rovině</t>
  </si>
  <si>
    <t>180402112R00</t>
  </si>
  <si>
    <t>Založení trávníku parkového výsevem ve svahu 1:2</t>
  </si>
  <si>
    <t>183101111R00</t>
  </si>
  <si>
    <t>Hloub. jamek bez výměny půdy do 0,01 m3, svah 1:5</t>
  </si>
  <si>
    <t xml:space="preserve">viz kap.2.3 v tz- tabulka rostlin - keře </t>
  </si>
  <si>
    <t>183102131R00</t>
  </si>
  <si>
    <t>Hloub. jamek bez výměny půdy do 0,01 m3, svah 1:2</t>
  </si>
  <si>
    <t>viz kap.2.3 v tz- tabulka rostlin - traviny</t>
  </si>
  <si>
    <t>183101215R00</t>
  </si>
  <si>
    <t>Hloub. jamek s výměnou 50% půdy do 0,4m3 v rovině, sv.1:5</t>
  </si>
  <si>
    <t xml:space="preserve">viz kap.2.4 v tz- tabulka rostlin - stromy </t>
  </si>
  <si>
    <t>183102215R00</t>
  </si>
  <si>
    <t>Hloub. jamek s výměnou 50% půdy do 0,4m3 ve svahu 1:2</t>
  </si>
  <si>
    <t>184102111R00</t>
  </si>
  <si>
    <t>Výsadba dřevin s balem D do 20 cm, v rovině</t>
  </si>
  <si>
    <t>viz kap.2.4 v tz- tabulka rostlin - keře</t>
  </si>
  <si>
    <t>184102121R00</t>
  </si>
  <si>
    <t>Výsadba dřevin s balem D do 20 cm, svah 1:2</t>
  </si>
  <si>
    <t>184102114R00</t>
  </si>
  <si>
    <t>Výsadba dřevin s balem D do 50 cm, v rovině</t>
  </si>
  <si>
    <t>viz kap.2.4 v tz- tabulka rostlin - stromy</t>
  </si>
  <si>
    <t>184102124R00</t>
  </si>
  <si>
    <t>Výsadba dřevin s balem D do 50 cm, svah 1:2</t>
  </si>
  <si>
    <t>183204112R00</t>
  </si>
  <si>
    <t>Výsadba trvalek  </t>
  </si>
  <si>
    <t>viz kap.2.4 v tz- tabulka rostlin - traviny</t>
  </si>
  <si>
    <t>Provedení ochranného nátěru kmene včetně nátěru 2*0,5m2/1strom</t>
  </si>
  <si>
    <t>viz kap.2.4 v tz -  stromy list. 43*0,5*2</t>
  </si>
  <si>
    <t>184202112R00</t>
  </si>
  <si>
    <t>Osazení  3 kůlů k dřevině s uvázáním, dl. kůlů do 3 m</t>
  </si>
  <si>
    <t>viz kap.2.4 v tz -  stromy list.</t>
  </si>
  <si>
    <t>184921093R00</t>
  </si>
  <si>
    <t>Mulčování rostlin borkou  tl. do 0,1 m rovina</t>
  </si>
  <si>
    <t>stromy v trávníku - 38*0,64m2</t>
  </si>
  <si>
    <t>184921094R00</t>
  </si>
  <si>
    <t>Mulčování rostlin borkou  tl. do 0,1 m , svah 1:2</t>
  </si>
  <si>
    <t>Rozprostření geotextílie svah 1:2</t>
  </si>
  <si>
    <t>pod štěrk</t>
  </si>
  <si>
    <t>Mulčování rostlin štěrkem tl. do 0,1 m svah 1:2</t>
  </si>
  <si>
    <t>185802113R00</t>
  </si>
  <si>
    <t xml:space="preserve">Hnojení umělým hnojivem na široko v rovině </t>
  </si>
  <si>
    <t>viz kap.2.5 v tz park.trávník …1090*20g/m2</t>
  </si>
  <si>
    <t>185802123R00</t>
  </si>
  <si>
    <t>Hnojení umělým hnojivem na široko svah 1:2</t>
  </si>
  <si>
    <t>viz kap.2.5 v tz park.trávník …200*20g/m2</t>
  </si>
  <si>
    <t>185802114R00</t>
  </si>
  <si>
    <t xml:space="preserve">Hnojení umělým hnojivem s rozdělením k jednotlivým rostlinám v rovině </t>
  </si>
  <si>
    <t>viz kap.2.4 v tz-stromy 38*5ks tablet (a10g)</t>
  </si>
  <si>
    <t>viz kap.2.4 v tz-keře 174*1ks tablet (a10g)</t>
  </si>
  <si>
    <t>185802124R00</t>
  </si>
  <si>
    <t>Hnojení umělým hnojivem s rozdělením k jednotlivým rostlinám  svah 1:2</t>
  </si>
  <si>
    <t>viz kap.2.4 v tz-stromy 5*5ks tablet (a10g)</t>
  </si>
  <si>
    <t>viz kap.2.4 v tz-keře 2106*1ks tablet (a10g)</t>
  </si>
  <si>
    <t>viz kap.2.4 v tz-traviny 30*1ks tablet (a10g)</t>
  </si>
  <si>
    <t>185851111R00</t>
  </si>
  <si>
    <t>Dovoz vody pro zálivku rostlin do 6 km</t>
  </si>
  <si>
    <t>viz kap.2.4 v tz-list.stromy 43*80l</t>
  </si>
  <si>
    <t>viz kap.2.4 v tz-keře 2280*5l</t>
  </si>
  <si>
    <t>viz kap.2.4 v tz-traviny 30*2l</t>
  </si>
  <si>
    <t>DODÁVKA</t>
  </si>
  <si>
    <t>počty rostlin viz kap.2.3 v technické zprávě</t>
  </si>
  <si>
    <t>001</t>
  </si>
  <si>
    <t>javor mléč - Acer platanoides  "Deborah"  ZB obv.kmene 14-16 cm</t>
  </si>
  <si>
    <t>002</t>
  </si>
  <si>
    <t>muchovník stromovitý - Amelanchier arborea "Robin Hill"</t>
  </si>
  <si>
    <t>003</t>
  </si>
  <si>
    <t>bříza bílá - Betula pendula</t>
  </si>
  <si>
    <t>004</t>
  </si>
  <si>
    <t>jeřáb muk - Sorbus aria</t>
  </si>
  <si>
    <t>005</t>
  </si>
  <si>
    <t>jeřáb obecný - Sorbus aucuparia</t>
  </si>
  <si>
    <t>006</t>
  </si>
  <si>
    <t>jeřáb prostřední - Sorbus intermedia</t>
  </si>
  <si>
    <t>007</t>
  </si>
  <si>
    <t>dřišťál Julianův - Berberis julianae</t>
  </si>
  <si>
    <t>008</t>
  </si>
  <si>
    <t>skalník Dammerův - Cotoneaster dammeri "Coral Beauty"</t>
  </si>
  <si>
    <t>009</t>
  </si>
  <si>
    <t>pustoryl - Philadelphus "Belle Etoile"</t>
  </si>
  <si>
    <t>010</t>
  </si>
  <si>
    <t>mochna křovitá - Potentilla fruticosa "Abbotswood"</t>
  </si>
  <si>
    <t>011</t>
  </si>
  <si>
    <t>mochna křovitá - Potentilla fruticosa "Lovely Pink"</t>
  </si>
  <si>
    <t>012</t>
  </si>
  <si>
    <t>hlohyně šarlatová - Pyracantha coccinea " Soleil d Or"</t>
  </si>
  <si>
    <t>013</t>
  </si>
  <si>
    <t>pámelník Chenaultův - Symphoricarpos x chenaultií "Hancock"</t>
  </si>
  <si>
    <t>014</t>
  </si>
  <si>
    <t>ozdobnice - Miscanthus chinensis "Graziella"</t>
  </si>
  <si>
    <t>015</t>
  </si>
  <si>
    <t>opadavec - Sporobolus heterolepis</t>
  </si>
  <si>
    <t xml:space="preserve">Směs travní parková </t>
  </si>
  <si>
    <t>viz kap.2.5 v tz -1290m2*0,03kg</t>
  </si>
  <si>
    <t>08211320</t>
  </si>
  <si>
    <t>Voda pitná - vodné</t>
  </si>
  <si>
    <r>
      <t xml:space="preserve">viz pol.54 </t>
    </r>
    <r>
      <rPr>
        <i/>
        <sz val="8"/>
        <color indexed="30"/>
        <rFont val="Arial CE"/>
        <family val="2"/>
      </rPr>
      <t>v rozpočtu</t>
    </r>
  </si>
  <si>
    <t>Tyč jehličnatá prům. 6-8 cm odkorněná, 3m</t>
  </si>
  <si>
    <t>viz kap.2.4 v tz -43 stromy*3</t>
  </si>
  <si>
    <t>Dřevěné příčky</t>
  </si>
  <si>
    <t>Úvazek pružný</t>
  </si>
  <si>
    <t>43 stromů*1,5m</t>
  </si>
  <si>
    <t>Substrát zahradnický (800kg/m3)</t>
  </si>
  <si>
    <t>výměna půdy v jamkách u list.stromů 43*0,25m3</t>
  </si>
  <si>
    <t>Kůra mulčovací (500kg/m3)</t>
  </si>
  <si>
    <t>keře 1032*0,1</t>
  </si>
  <si>
    <t>stromy v trávníku - 8*0,64m2*0,1</t>
  </si>
  <si>
    <t>Štěrk  fr.63-125mm (1800kg/m3)</t>
  </si>
  <si>
    <t>viz položka č.49 v rozpočtu - traviny 60m2*0,1m</t>
  </si>
  <si>
    <t>Geotextílie 150g/m2</t>
  </si>
  <si>
    <t>viz položka č. 48</t>
  </si>
  <si>
    <t>Tablet.hnojivo 10 g</t>
  </si>
  <si>
    <t>viz kap.2.4 v tz-stromy 43*5ks tablet (a10g)</t>
  </si>
  <si>
    <t>viz kap.2.4 v tz-keře 2280*1ks tablet (a10g)</t>
  </si>
  <si>
    <t xml:space="preserve">Hnojivo NPK(dusík, fosfor,draslík) </t>
  </si>
  <si>
    <t>viz kap.2.5 v tz …trávník 1290*20g/m2</t>
  </si>
  <si>
    <t>Celkem za</t>
  </si>
  <si>
    <t>998231311R00</t>
  </si>
  <si>
    <t>Přesun hmot pro sadovnické a krajin. úpravy do 5km</t>
  </si>
  <si>
    <t>99 Staveništní přesun hmot</t>
  </si>
  <si>
    <t>SO 800 Sadové úpravy-následná péče</t>
  </si>
  <si>
    <t>Následná péče o  výsadby 3 roky</t>
  </si>
  <si>
    <t>Následná péče o výsadby 3 roky</t>
  </si>
  <si>
    <t>viz kap.2.6 v tz</t>
  </si>
  <si>
    <t>184806111R00</t>
  </si>
  <si>
    <t>Ŕez stromů průklestem koruny prům do 2m (list.stromy)</t>
  </si>
  <si>
    <t>43ks*3let</t>
  </si>
  <si>
    <t>185804214R00</t>
  </si>
  <si>
    <t>Vypletí dřevin ve skupinách v rovině</t>
  </si>
  <si>
    <t>keře:67m2*2*3roky</t>
  </si>
  <si>
    <t>185804234R00</t>
  </si>
  <si>
    <t>Vypletí dřevin ve skupinách svah 1:2</t>
  </si>
  <si>
    <t>keře:965m2*2*3roky</t>
  </si>
  <si>
    <t>185804213R00</t>
  </si>
  <si>
    <t>Vypletí  dřevin solitérních v rovině</t>
  </si>
  <si>
    <t>stromy v trávníku (38 ks*0,64m2)*2*3roky</t>
  </si>
  <si>
    <t>185804233R00</t>
  </si>
  <si>
    <t>Vypletí  dřevin solitérních svah 1:2</t>
  </si>
  <si>
    <t>traviny (30 ks*0,5m2)*2*3roky</t>
  </si>
  <si>
    <t>185804312R00</t>
  </si>
  <si>
    <t>Zalití vodou plochy jednotlivě přes 20m2</t>
  </si>
  <si>
    <t>viz kap.2.4 v tz-list.stromy 43*80l*8*3roky</t>
  </si>
  <si>
    <t>viz kap.2.4 v tz-keře 2280*5l*8*3roky</t>
  </si>
  <si>
    <t>viz kap.2.4 v tz-traviny 30*2l*8*3roky</t>
  </si>
  <si>
    <r>
      <t xml:space="preserve">viz. pol.č.7 </t>
    </r>
    <r>
      <rPr>
        <i/>
        <sz val="8"/>
        <color indexed="30"/>
        <rFont val="Arial CE"/>
        <family val="2"/>
      </rPr>
      <t>v rozpočtu</t>
    </r>
  </si>
  <si>
    <t>keře 67m2*0,02 kg*1 rok</t>
  </si>
  <si>
    <t>keře 965m2*0,02 kg*1 rok</t>
  </si>
  <si>
    <t>stromy list.…38*0,08kg*1rok</t>
  </si>
  <si>
    <t>stromy list.…5*0,08kg*1rok</t>
  </si>
  <si>
    <t>traviny.…30*0,01kg*1rok</t>
  </si>
  <si>
    <t xml:space="preserve">hnojivo NPK(dusík, fosfor,draslík) </t>
  </si>
  <si>
    <r>
      <t>viz. pol.č.90-93</t>
    </r>
    <r>
      <rPr>
        <i/>
        <sz val="8"/>
        <color indexed="10"/>
        <rFont val="Arial CE"/>
        <family val="2"/>
      </rPr>
      <t xml:space="preserve"> </t>
    </r>
    <r>
      <rPr>
        <i/>
        <sz val="8"/>
        <color indexed="30"/>
        <rFont val="Arial CE"/>
        <family val="2"/>
      </rPr>
      <t>v rozpočtu</t>
    </r>
  </si>
  <si>
    <t>Odstranění  kotvení  stromů</t>
  </si>
  <si>
    <t>43 stromů</t>
  </si>
  <si>
    <t>mulčovací kůra na ploše 1056,32m2*0,05m</t>
  </si>
  <si>
    <t>185804252R00</t>
  </si>
  <si>
    <t>Odstranění odkvetlých částí trvalek ( v předjaří)</t>
  </si>
  <si>
    <t>traviny 30*3roky</t>
  </si>
  <si>
    <t>Svazování travin (před zimou)</t>
  </si>
  <si>
    <t xml:space="preserve">Odstranění kmenových obrostů </t>
  </si>
  <si>
    <t>43ks*1*3roky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</si>
</sst>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#,##0.0000"/>
  </numFmts>
  <fonts count="7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8"/>
      <name val="Arial"/>
      <family val="2"/>
    </font>
    <font>
      <sz val="18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 CE"/>
      <family val="2"/>
    </font>
    <font>
      <i/>
      <sz val="8"/>
      <color rgb="FF0070C0"/>
      <name val="Arial CE"/>
      <family val="2"/>
    </font>
    <font>
      <sz val="8"/>
      <color indexed="12"/>
      <name val="Arial CE"/>
      <family val="2"/>
    </font>
    <font>
      <i/>
      <sz val="8"/>
      <color indexed="30"/>
      <name val="Arial CE"/>
      <family val="2"/>
    </font>
    <font>
      <i/>
      <sz val="8"/>
      <color theme="4"/>
      <name val="Arial CE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i/>
      <sz val="8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57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/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54" fillId="0" borderId="0" xfId="21" applyNumberFormat="1" applyFont="1" applyFill="1" applyBorder="1" applyAlignment="1" applyProtection="1">
      <alignment/>
      <protection/>
    </xf>
    <xf numFmtId="0" fontId="55" fillId="0" borderId="3" xfId="21" applyNumberFormat="1" applyFont="1" applyFill="1" applyBorder="1" applyAlignment="1" applyProtection="1">
      <alignment horizontal="left" vertical="center"/>
      <protection/>
    </xf>
    <xf numFmtId="0" fontId="55" fillId="0" borderId="0" xfId="21" applyNumberFormat="1" applyFont="1" applyFill="1" applyBorder="1" applyAlignment="1" applyProtection="1">
      <alignment horizontal="left" vertical="center"/>
      <protection/>
    </xf>
    <xf numFmtId="0" fontId="56" fillId="0" borderId="0" xfId="21" applyNumberFormat="1" applyFont="1" applyFill="1" applyBorder="1" applyAlignment="1" applyProtection="1">
      <alignment horizontal="left" vertical="center"/>
      <protection/>
    </xf>
    <xf numFmtId="0" fontId="55" fillId="0" borderId="8" xfId="21" applyNumberFormat="1" applyFont="1" applyFill="1" applyBorder="1" applyAlignment="1" applyProtection="1">
      <alignment horizontal="left" vertical="center"/>
      <protection/>
    </xf>
    <xf numFmtId="0" fontId="55" fillId="0" borderId="9" xfId="21" applyNumberFormat="1" applyFont="1" applyFill="1" applyBorder="1" applyAlignment="1" applyProtection="1">
      <alignment horizontal="left" vertical="center"/>
      <protection/>
    </xf>
    <xf numFmtId="0" fontId="58" fillId="5" borderId="31" xfId="21" applyNumberFormat="1" applyFont="1" applyFill="1" applyBorder="1" applyAlignment="1" applyProtection="1">
      <alignment horizontal="center" vertical="center"/>
      <protection/>
    </xf>
    <xf numFmtId="0" fontId="58" fillId="5" borderId="32" xfId="21" applyNumberFormat="1" applyFont="1" applyFill="1" applyBorder="1" applyAlignment="1" applyProtection="1">
      <alignment horizontal="center" vertical="center"/>
      <protection/>
    </xf>
    <xf numFmtId="0" fontId="60" fillId="0" borderId="33" xfId="21" applyNumberFormat="1" applyFont="1" applyFill="1" applyBorder="1" applyAlignment="1" applyProtection="1">
      <alignment horizontal="left" vertical="center"/>
      <protection/>
    </xf>
    <xf numFmtId="0" fontId="61" fillId="0" borderId="34" xfId="21" applyNumberFormat="1" applyFont="1" applyFill="1" applyBorder="1" applyAlignment="1" applyProtection="1">
      <alignment horizontal="left" vertical="center"/>
      <protection/>
    </xf>
    <xf numFmtId="4" fontId="61" fillId="0" borderId="34" xfId="21" applyNumberFormat="1" applyFont="1" applyFill="1" applyBorder="1" applyAlignment="1" applyProtection="1">
      <alignment horizontal="right" vertical="center"/>
      <protection/>
    </xf>
    <xf numFmtId="0" fontId="60" fillId="0" borderId="35" xfId="21" applyNumberFormat="1" applyFont="1" applyFill="1" applyBorder="1" applyAlignment="1" applyProtection="1">
      <alignment horizontal="left" vertical="center"/>
      <protection/>
    </xf>
    <xf numFmtId="0" fontId="61" fillId="0" borderId="34" xfId="21" applyNumberFormat="1" applyFont="1" applyFill="1" applyBorder="1" applyAlignment="1" applyProtection="1">
      <alignment horizontal="right" vertical="center"/>
      <protection/>
    </xf>
    <xf numFmtId="4" fontId="61" fillId="0" borderId="36" xfId="21" applyNumberFormat="1" applyFont="1" applyFill="1" applyBorder="1" applyAlignment="1" applyProtection="1">
      <alignment horizontal="right" vertical="center"/>
      <protection/>
    </xf>
    <xf numFmtId="0" fontId="61" fillId="0" borderId="36" xfId="21" applyNumberFormat="1" applyFont="1" applyFill="1" applyBorder="1" applyAlignment="1" applyProtection="1">
      <alignment horizontal="right" vertical="center"/>
      <protection/>
    </xf>
    <xf numFmtId="4" fontId="61" fillId="0" borderId="32" xfId="21" applyNumberFormat="1" applyFont="1" applyFill="1" applyBorder="1" applyAlignment="1" applyProtection="1">
      <alignment horizontal="right" vertical="center"/>
      <protection/>
    </xf>
    <xf numFmtId="4" fontId="61" fillId="0" borderId="37" xfId="21" applyNumberFormat="1" applyFont="1" applyFill="1" applyBorder="1" applyAlignment="1" applyProtection="1">
      <alignment horizontal="right" vertical="center"/>
      <protection/>
    </xf>
    <xf numFmtId="4" fontId="60" fillId="5" borderId="32" xfId="21" applyNumberFormat="1" applyFont="1" applyFill="1" applyBorder="1" applyAlignment="1" applyProtection="1">
      <alignment horizontal="right" vertical="center"/>
      <protection/>
    </xf>
    <xf numFmtId="4" fontId="60" fillId="5" borderId="34" xfId="21" applyNumberFormat="1" applyFont="1" applyFill="1" applyBorder="1" applyAlignment="1" applyProtection="1">
      <alignment horizontal="right" vertical="center"/>
      <protection/>
    </xf>
    <xf numFmtId="0" fontId="62" fillId="0" borderId="0" xfId="21" applyNumberFormat="1" applyFont="1" applyFill="1" applyBorder="1" applyAlignment="1" applyProtection="1">
      <alignment horizontal="left" vertical="center"/>
      <protection/>
    </xf>
    <xf numFmtId="0" fontId="56" fillId="0" borderId="38" xfId="21" applyNumberFormat="1" applyFont="1" applyFill="1" applyBorder="1" applyAlignment="1" applyProtection="1">
      <alignment horizontal="left" vertical="center"/>
      <protection/>
    </xf>
    <xf numFmtId="0" fontId="56" fillId="0" borderId="39" xfId="21" applyNumberFormat="1" applyFont="1" applyFill="1" applyBorder="1" applyAlignment="1" applyProtection="1">
      <alignment horizontal="left" vertical="center"/>
      <protection/>
    </xf>
    <xf numFmtId="0" fontId="56" fillId="0" borderId="40" xfId="21" applyNumberFormat="1" applyFont="1" applyFill="1" applyBorder="1" applyAlignment="1" applyProtection="1">
      <alignment horizontal="left" vertical="center"/>
      <protection/>
    </xf>
    <xf numFmtId="0" fontId="56" fillId="0" borderId="40" xfId="21" applyNumberFormat="1" applyFont="1" applyFill="1" applyBorder="1" applyAlignment="1" applyProtection="1">
      <alignment horizontal="center" vertical="center"/>
      <protection/>
    </xf>
    <xf numFmtId="0" fontId="56" fillId="0" borderId="41" xfId="21" applyNumberFormat="1" applyFont="1" applyFill="1" applyBorder="1" applyAlignment="1" applyProtection="1">
      <alignment horizontal="center" vertical="center"/>
      <protection/>
    </xf>
    <xf numFmtId="4" fontId="55" fillId="0" borderId="0" xfId="21" applyNumberFormat="1" applyFont="1" applyFill="1" applyBorder="1" applyAlignment="1" applyProtection="1">
      <alignment horizontal="right" vertical="center"/>
      <protection/>
    </xf>
    <xf numFmtId="4" fontId="55" fillId="0" borderId="36" xfId="21" applyNumberFormat="1" applyFont="1" applyFill="1" applyBorder="1" applyAlignment="1" applyProtection="1">
      <alignment horizontal="right" vertical="center"/>
      <protection/>
    </xf>
    <xf numFmtId="4" fontId="55" fillId="0" borderId="9" xfId="21" applyNumberFormat="1" applyFont="1" applyFill="1" applyBorder="1" applyAlignment="1" applyProtection="1">
      <alignment horizontal="right" vertical="center"/>
      <protection/>
    </xf>
    <xf numFmtId="4" fontId="55" fillId="0" borderId="34" xfId="21" applyNumberFormat="1" applyFont="1" applyFill="1" applyBorder="1" applyAlignment="1" applyProtection="1">
      <alignment horizontal="right" vertical="center"/>
      <protection/>
    </xf>
    <xf numFmtId="4" fontId="56" fillId="0" borderId="0" xfId="21" applyNumberFormat="1" applyFont="1" applyFill="1" applyBorder="1" applyAlignment="1" applyProtection="1">
      <alignment horizontal="right" vertical="center"/>
      <protection/>
    </xf>
    <xf numFmtId="0" fontId="56" fillId="0" borderId="42" xfId="21" applyNumberFormat="1" applyFont="1" applyFill="1" applyBorder="1" applyAlignment="1" applyProtection="1">
      <alignment horizontal="left" vertical="center"/>
      <protection/>
    </xf>
    <xf numFmtId="0" fontId="56" fillId="0" borderId="43" xfId="21" applyNumberFormat="1" applyFont="1" applyFill="1" applyBorder="1" applyAlignment="1" applyProtection="1">
      <alignment horizontal="left" vertical="center"/>
      <protection/>
    </xf>
    <xf numFmtId="0" fontId="56" fillId="0" borderId="43" xfId="21" applyNumberFormat="1" applyFont="1" applyFill="1" applyBorder="1" applyAlignment="1" applyProtection="1">
      <alignment horizontal="center" vertical="center"/>
      <protection/>
    </xf>
    <xf numFmtId="0" fontId="56" fillId="0" borderId="44" xfId="21" applyNumberFormat="1" applyFont="1" applyFill="1" applyBorder="1" applyAlignment="1" applyProtection="1">
      <alignment horizontal="center" vertical="center"/>
      <protection/>
    </xf>
    <xf numFmtId="0" fontId="56" fillId="0" borderId="45" xfId="21" applyNumberFormat="1" applyFont="1" applyFill="1" applyBorder="1" applyAlignment="1" applyProtection="1">
      <alignment horizontal="center" vertical="center"/>
      <protection/>
    </xf>
    <xf numFmtId="0" fontId="56" fillId="5" borderId="0" xfId="21" applyNumberFormat="1" applyFont="1" applyFill="1" applyBorder="1" applyAlignment="1" applyProtection="1">
      <alignment horizontal="right" vertical="center"/>
      <protection/>
    </xf>
    <xf numFmtId="0" fontId="56" fillId="0" borderId="0" xfId="21" applyNumberFormat="1" applyFont="1" applyFill="1" applyBorder="1" applyAlignment="1" applyProtection="1">
      <alignment horizontal="right" vertical="center"/>
      <protection/>
    </xf>
    <xf numFmtId="0" fontId="55" fillId="0" borderId="46" xfId="21" applyNumberFormat="1" applyFont="1" applyFill="1" applyBorder="1" applyAlignment="1" applyProtection="1">
      <alignment horizontal="left" vertical="center"/>
      <protection/>
    </xf>
    <xf numFmtId="0" fontId="55" fillId="0" borderId="37" xfId="21" applyNumberFormat="1" applyFont="1" applyFill="1" applyBorder="1" applyAlignment="1" applyProtection="1">
      <alignment horizontal="left" vertical="center"/>
      <protection/>
    </xf>
    <xf numFmtId="0" fontId="56" fillId="0" borderId="47" xfId="21" applyNumberFormat="1" applyFont="1" applyFill="1" applyBorder="1" applyAlignment="1" applyProtection="1">
      <alignment horizontal="center" vertical="center"/>
      <protection/>
    </xf>
    <xf numFmtId="0" fontId="56" fillId="0" borderId="46" xfId="21" applyNumberFormat="1" applyFont="1" applyFill="1" applyBorder="1" applyAlignment="1" applyProtection="1">
      <alignment horizontal="center" vertical="center"/>
      <protection/>
    </xf>
    <xf numFmtId="0" fontId="56" fillId="0" borderId="37" xfId="21" applyNumberFormat="1" applyFont="1" applyFill="1" applyBorder="1" applyAlignment="1" applyProtection="1">
      <alignment horizontal="center" vertical="center"/>
      <protection/>
    </xf>
    <xf numFmtId="0" fontId="56" fillId="0" borderId="48" xfId="21" applyNumberFormat="1" applyFont="1" applyFill="1" applyBorder="1" applyAlignment="1" applyProtection="1">
      <alignment horizontal="center" vertical="center"/>
      <protection/>
    </xf>
    <xf numFmtId="0" fontId="56" fillId="0" borderId="49" xfId="21" applyNumberFormat="1" applyFont="1" applyFill="1" applyBorder="1" applyAlignment="1" applyProtection="1">
      <alignment horizontal="center" vertical="center"/>
      <protection/>
    </xf>
    <xf numFmtId="0" fontId="55" fillId="5" borderId="3" xfId="21" applyNumberFormat="1" applyFont="1" applyFill="1" applyBorder="1" applyAlignment="1" applyProtection="1">
      <alignment horizontal="left" vertical="center"/>
      <protection/>
    </xf>
    <xf numFmtId="0" fontId="56" fillId="5" borderId="0" xfId="21" applyNumberFormat="1" applyFont="1" applyFill="1" applyBorder="1" applyAlignment="1" applyProtection="1">
      <alignment horizontal="left" vertical="center"/>
      <protection/>
    </xf>
    <xf numFmtId="0" fontId="55" fillId="5" borderId="0" xfId="21" applyNumberFormat="1" applyFont="1" applyFill="1" applyBorder="1" applyAlignment="1" applyProtection="1">
      <alignment horizontal="left" vertical="center"/>
      <protection/>
    </xf>
    <xf numFmtId="4" fontId="56" fillId="5" borderId="0" xfId="21" applyNumberFormat="1" applyFont="1" applyFill="1" applyBorder="1" applyAlignment="1" applyProtection="1">
      <alignment horizontal="right" vertical="center"/>
      <protection/>
    </xf>
    <xf numFmtId="0" fontId="56" fillId="5" borderId="36" xfId="21" applyNumberFormat="1" applyFont="1" applyFill="1" applyBorder="1" applyAlignment="1" applyProtection="1">
      <alignment horizontal="right" vertical="center"/>
      <protection/>
    </xf>
    <xf numFmtId="0" fontId="55" fillId="0" borderId="36" xfId="21" applyNumberFormat="1" applyFont="1" applyFill="1" applyBorder="1" applyAlignment="1" applyProtection="1">
      <alignment horizontal="right" vertical="center"/>
      <protection/>
    </xf>
    <xf numFmtId="0" fontId="55" fillId="0" borderId="0" xfId="21" applyNumberFormat="1" applyFont="1" applyFill="1" applyBorder="1" applyAlignment="1" applyProtection="1">
      <alignment horizontal="right" vertical="center"/>
      <protection/>
    </xf>
    <xf numFmtId="0" fontId="55" fillId="0" borderId="34" xfId="21" applyNumberFormat="1" applyFont="1" applyFill="1" applyBorder="1" applyAlignment="1" applyProtection="1">
      <alignment horizontal="right" vertical="center"/>
      <protection/>
    </xf>
    <xf numFmtId="0" fontId="3" fillId="0" borderId="0" xfId="22">
      <alignment/>
      <protection/>
    </xf>
    <xf numFmtId="0" fontId="64" fillId="0" borderId="0" xfId="22" applyFont="1" applyAlignment="1">
      <alignment horizontal="center"/>
      <protection/>
    </xf>
    <xf numFmtId="0" fontId="65" fillId="0" borderId="0" xfId="22" applyFont="1" applyAlignment="1">
      <alignment horizontal="center"/>
      <protection/>
    </xf>
    <xf numFmtId="0" fontId="65" fillId="0" borderId="0" xfId="22" applyFont="1" applyAlignment="1">
      <alignment horizontal="right"/>
      <protection/>
    </xf>
    <xf numFmtId="0" fontId="65" fillId="0" borderId="0" xfId="22" applyFont="1" applyAlignment="1">
      <alignment horizontal="centerContinuous"/>
      <protection/>
    </xf>
    <xf numFmtId="0" fontId="66" fillId="0" borderId="50" xfId="22" applyFont="1" applyBorder="1">
      <alignment/>
      <protection/>
    </xf>
    <xf numFmtId="0" fontId="23" fillId="0" borderId="51" xfId="22" applyFont="1" applyBorder="1" applyAlignment="1">
      <alignment horizontal="right"/>
      <protection/>
    </xf>
    <xf numFmtId="0" fontId="3" fillId="0" borderId="50" xfId="22" applyBorder="1" applyAlignment="1">
      <alignment horizontal="left"/>
      <protection/>
    </xf>
    <xf numFmtId="0" fontId="3" fillId="0" borderId="52" xfId="22" applyBorder="1">
      <alignment/>
      <protection/>
    </xf>
    <xf numFmtId="0" fontId="66" fillId="0" borderId="53" xfId="22" applyFont="1" applyBorder="1" applyAlignment="1">
      <alignment wrapText="1"/>
      <protection/>
    </xf>
    <xf numFmtId="0" fontId="66" fillId="0" borderId="53" xfId="22" applyFont="1" applyBorder="1">
      <alignment/>
      <protection/>
    </xf>
    <xf numFmtId="0" fontId="3" fillId="0" borderId="54" xfId="22" applyBorder="1">
      <alignment/>
      <protection/>
    </xf>
    <xf numFmtId="0" fontId="3" fillId="0" borderId="0" xfId="23">
      <alignment/>
      <protection/>
    </xf>
    <xf numFmtId="49" fontId="19" fillId="0" borderId="55" xfId="23" applyNumberFormat="1" applyFont="1" applyBorder="1">
      <alignment/>
      <protection/>
    </xf>
    <xf numFmtId="0" fontId="19" fillId="0" borderId="56" xfId="23" applyFont="1" applyBorder="1">
      <alignment/>
      <protection/>
    </xf>
    <xf numFmtId="4" fontId="19" fillId="0" borderId="56" xfId="23" applyNumberFormat="1" applyFont="1" applyBorder="1">
      <alignment/>
      <protection/>
    </xf>
    <xf numFmtId="0" fontId="19" fillId="0" borderId="57" xfId="23" applyFont="1" applyBorder="1" applyAlignment="1">
      <alignment horizontal="center"/>
      <protection/>
    </xf>
    <xf numFmtId="0" fontId="23" fillId="0" borderId="0" xfId="23" applyFont="1">
      <alignment/>
      <protection/>
    </xf>
    <xf numFmtId="4" fontId="3" fillId="0" borderId="0" xfId="23" applyNumberFormat="1">
      <alignment/>
      <protection/>
    </xf>
    <xf numFmtId="3" fontId="3" fillId="0" borderId="58" xfId="23" applyNumberFormat="1" applyFont="1" applyBorder="1">
      <alignment/>
      <protection/>
    </xf>
    <xf numFmtId="3" fontId="3" fillId="0" borderId="58" xfId="23" applyNumberFormat="1" applyFont="1" applyBorder="1" applyAlignment="1">
      <alignment horizontal="center"/>
      <protection/>
    </xf>
    <xf numFmtId="0" fontId="19" fillId="0" borderId="55" xfId="23" applyFont="1" applyBorder="1">
      <alignment/>
      <protection/>
    </xf>
    <xf numFmtId="3" fontId="19" fillId="0" borderId="57" xfId="23" applyNumberFormat="1" applyFont="1" applyBorder="1" applyAlignment="1">
      <alignment horizontal="right"/>
      <protection/>
    </xf>
    <xf numFmtId="3" fontId="19" fillId="0" borderId="57" xfId="23" applyNumberFormat="1" applyFont="1" applyBorder="1">
      <alignment/>
      <protection/>
    </xf>
    <xf numFmtId="3" fontId="19" fillId="0" borderId="57" xfId="23" applyNumberFormat="1" applyFont="1" applyBorder="1" applyAlignment="1">
      <alignment horizontal="center"/>
      <protection/>
    </xf>
    <xf numFmtId="0" fontId="67" fillId="0" borderId="0" xfId="23" applyFont="1">
      <alignment/>
      <protection/>
    </xf>
    <xf numFmtId="4" fontId="67" fillId="0" borderId="0" xfId="23" applyNumberFormat="1" applyFont="1">
      <alignment/>
      <protection/>
    </xf>
    <xf numFmtId="3" fontId="3" fillId="0" borderId="0" xfId="22" applyNumberFormat="1">
      <alignment/>
      <protection/>
    </xf>
    <xf numFmtId="4" fontId="67" fillId="0" borderId="0" xfId="23" applyNumberFormat="1" applyFont="1" applyAlignment="1">
      <alignment horizontal="center"/>
      <protection/>
    </xf>
    <xf numFmtId="0" fontId="68" fillId="6" borderId="55" xfId="23" applyFont="1" applyFill="1" applyBorder="1">
      <alignment/>
      <protection/>
    </xf>
    <xf numFmtId="0" fontId="68" fillId="6" borderId="56" xfId="23" applyFont="1" applyFill="1" applyBorder="1">
      <alignment/>
      <protection/>
    </xf>
    <xf numFmtId="4" fontId="68" fillId="6" borderId="56" xfId="23" applyNumberFormat="1" applyFont="1" applyFill="1" applyBorder="1">
      <alignment/>
      <protection/>
    </xf>
    <xf numFmtId="3" fontId="68" fillId="6" borderId="59" xfId="23" applyNumberFormat="1" applyFont="1" applyFill="1" applyBorder="1">
      <alignment/>
      <protection/>
    </xf>
    <xf numFmtId="4" fontId="68" fillId="6" borderId="59" xfId="23" applyNumberFormat="1" applyFont="1" applyFill="1" applyBorder="1" applyAlignment="1">
      <alignment horizontal="center"/>
      <protection/>
    </xf>
    <xf numFmtId="0" fontId="23" fillId="0" borderId="0" xfId="22" applyFont="1">
      <alignment/>
      <protection/>
    </xf>
    <xf numFmtId="0" fontId="3" fillId="0" borderId="0" xfId="22" applyAlignment="1">
      <alignment horizontal="right"/>
      <protection/>
    </xf>
    <xf numFmtId="49" fontId="23" fillId="7" borderId="60" xfId="22" applyNumberFormat="1" applyFont="1" applyFill="1" applyBorder="1">
      <alignment/>
      <protection/>
    </xf>
    <xf numFmtId="0" fontId="23" fillId="7" borderId="61" xfId="22" applyFont="1" applyFill="1" applyBorder="1" applyAlignment="1">
      <alignment horizontal="center"/>
      <protection/>
    </xf>
    <xf numFmtId="0" fontId="23" fillId="7" borderId="60" xfId="22" applyFont="1" applyFill="1" applyBorder="1" applyAlignment="1">
      <alignment horizontal="center"/>
      <protection/>
    </xf>
    <xf numFmtId="0" fontId="68" fillId="0" borderId="60" xfId="22" applyFont="1" applyBorder="1" applyAlignment="1">
      <alignment horizontal="center"/>
      <protection/>
    </xf>
    <xf numFmtId="49" fontId="68" fillId="0" borderId="60" xfId="22" applyNumberFormat="1" applyFont="1" applyBorder="1" applyAlignment="1">
      <alignment horizontal="left"/>
      <protection/>
    </xf>
    <xf numFmtId="0" fontId="68" fillId="0" borderId="62" xfId="22" applyFont="1" applyBorder="1">
      <alignment/>
      <protection/>
    </xf>
    <xf numFmtId="0" fontId="1" fillId="0" borderId="63" xfId="22" applyFont="1" applyBorder="1" applyAlignment="1">
      <alignment horizontal="center"/>
      <protection/>
    </xf>
    <xf numFmtId="0" fontId="1" fillId="0" borderId="63" xfId="22" applyFont="1" applyBorder="1" applyAlignment="1">
      <alignment horizontal="right"/>
      <protection/>
    </xf>
    <xf numFmtId="0" fontId="1" fillId="0" borderId="61" xfId="22" applyFont="1" applyBorder="1">
      <alignment/>
      <protection/>
    </xf>
    <xf numFmtId="0" fontId="69" fillId="0" borderId="0" xfId="22" applyFont="1">
      <alignment/>
      <protection/>
    </xf>
    <xf numFmtId="0" fontId="3" fillId="0" borderId="58" xfId="22" applyFont="1" applyBorder="1" applyAlignment="1">
      <alignment horizontal="center" vertical="center"/>
      <protection/>
    </xf>
    <xf numFmtId="49" fontId="0" fillId="0" borderId="58" xfId="22" applyNumberFormat="1" applyFont="1" applyBorder="1" applyAlignment="1">
      <alignment horizontal="left" vertical="center"/>
      <protection/>
    </xf>
    <xf numFmtId="0" fontId="0" fillId="0" borderId="26" xfId="22" applyFont="1" applyBorder="1" applyAlignment="1">
      <alignment wrapText="1"/>
      <protection/>
    </xf>
    <xf numFmtId="49" fontId="0" fillId="0" borderId="64" xfId="22" applyNumberFormat="1" applyFont="1" applyBorder="1" applyAlignment="1">
      <alignment horizontal="center" shrinkToFit="1"/>
      <protection/>
    </xf>
    <xf numFmtId="4" fontId="0" fillId="0" borderId="27" xfId="22" applyNumberFormat="1" applyFont="1" applyBorder="1" applyAlignment="1">
      <alignment horizontal="right"/>
      <protection/>
    </xf>
    <xf numFmtId="4" fontId="0" fillId="0" borderId="58" xfId="22" applyNumberFormat="1" applyFont="1" applyBorder="1" applyAlignment="1">
      <alignment horizontal="right"/>
      <protection/>
    </xf>
    <xf numFmtId="4" fontId="0" fillId="0" borderId="58" xfId="22" applyNumberFormat="1" applyFont="1" applyBorder="1">
      <alignment/>
      <protection/>
    </xf>
    <xf numFmtId="0" fontId="3" fillId="0" borderId="58" xfId="22" applyFont="1" applyBorder="1" applyAlignment="1">
      <alignment horizontal="center" vertical="top"/>
      <protection/>
    </xf>
    <xf numFmtId="0" fontId="70" fillId="0" borderId="26" xfId="22" applyFont="1" applyBorder="1" applyAlignment="1">
      <alignment wrapText="1"/>
      <protection/>
    </xf>
    <xf numFmtId="49" fontId="0" fillId="0" borderId="58" xfId="22" applyNumberFormat="1" applyFont="1" applyBorder="1" applyAlignment="1">
      <alignment horizontal="center" shrinkToFit="1"/>
      <protection/>
    </xf>
    <xf numFmtId="0" fontId="70" fillId="0" borderId="27" xfId="22" applyFont="1" applyBorder="1" applyAlignment="1">
      <alignment wrapText="1"/>
      <protection/>
    </xf>
    <xf numFmtId="0" fontId="70" fillId="0" borderId="26" xfId="22" applyFont="1" applyBorder="1" applyAlignment="1">
      <alignment horizontal="left" vertical="center" wrapText="1"/>
      <protection/>
    </xf>
    <xf numFmtId="166" fontId="71" fillId="0" borderId="58" xfId="23" applyNumberFormat="1" applyFont="1" applyBorder="1" applyAlignment="1">
      <alignment horizontal="center" vertical="top" wrapText="1" shrinkToFit="1"/>
      <protection/>
    </xf>
    <xf numFmtId="166" fontId="71" fillId="0" borderId="0" xfId="23" applyNumberFormat="1" applyFont="1" applyAlignment="1">
      <alignment vertical="top" wrapText="1" shrinkToFit="1"/>
      <protection/>
    </xf>
    <xf numFmtId="4" fontId="0" fillId="0" borderId="27" xfId="22" applyNumberFormat="1" applyFont="1" applyBorder="1">
      <alignment/>
      <protection/>
    </xf>
    <xf numFmtId="4" fontId="0" fillId="0" borderId="0" xfId="22" applyNumberFormat="1" applyFont="1" applyAlignment="1">
      <alignment horizontal="right"/>
      <protection/>
    </xf>
    <xf numFmtId="49" fontId="0" fillId="0" borderId="58" xfId="22" applyNumberFormat="1" applyFont="1" applyBorder="1" applyAlignment="1">
      <alignment horizontal="left" vertical="top"/>
      <protection/>
    </xf>
    <xf numFmtId="0" fontId="70" fillId="0" borderId="0" xfId="22" applyFont="1" applyAlignment="1">
      <alignment wrapText="1"/>
      <protection/>
    </xf>
    <xf numFmtId="49" fontId="0" fillId="0" borderId="26" xfId="22" applyNumberFormat="1" applyFont="1" applyBorder="1" applyAlignment="1">
      <alignment horizontal="left" vertical="center"/>
      <protection/>
    </xf>
    <xf numFmtId="0" fontId="0" fillId="0" borderId="58" xfId="22" applyFont="1" applyBorder="1" applyAlignment="1">
      <alignment horizontal="center" vertical="center" wrapText="1"/>
      <protection/>
    </xf>
    <xf numFmtId="49" fontId="0" fillId="0" borderId="58" xfId="22" applyNumberFormat="1" applyFont="1" applyBorder="1" applyAlignment="1">
      <alignment horizontal="center" vertical="center" shrinkToFit="1"/>
      <protection/>
    </xf>
    <xf numFmtId="0" fontId="0" fillId="0" borderId="0" xfId="23" applyFont="1" applyAlignment="1">
      <alignment vertical="top"/>
      <protection/>
    </xf>
    <xf numFmtId="4" fontId="0" fillId="0" borderId="0" xfId="22" applyNumberFormat="1" applyFont="1" applyAlignment="1">
      <alignment horizontal="right" vertical="center"/>
      <protection/>
    </xf>
    <xf numFmtId="0" fontId="0" fillId="0" borderId="58" xfId="22" applyFont="1" applyBorder="1" applyAlignment="1">
      <alignment vertical="center" wrapText="1"/>
      <protection/>
    </xf>
    <xf numFmtId="49" fontId="0" fillId="0" borderId="58" xfId="22" applyNumberFormat="1" applyFont="1" applyBorder="1" applyAlignment="1">
      <alignment horizontal="center" shrinkToFit="1"/>
      <protection/>
    </xf>
    <xf numFmtId="4" fontId="0" fillId="0" borderId="0" xfId="22" applyNumberFormat="1" applyFont="1" applyAlignment="1">
      <alignment horizontal="right"/>
      <protection/>
    </xf>
    <xf numFmtId="0" fontId="0" fillId="0" borderId="58" xfId="22" applyFont="1" applyBorder="1" applyAlignment="1">
      <alignment horizontal="center" vertical="top" wrapText="1"/>
      <protection/>
    </xf>
    <xf numFmtId="0" fontId="1" fillId="0" borderId="27" xfId="22" applyFont="1" applyBorder="1">
      <alignment/>
      <protection/>
    </xf>
    <xf numFmtId="0" fontId="0" fillId="0" borderId="58" xfId="22" applyFont="1" applyBorder="1" applyAlignment="1">
      <alignment wrapText="1"/>
      <protection/>
    </xf>
    <xf numFmtId="0" fontId="70" fillId="0" borderId="58" xfId="22" applyFont="1" applyBorder="1" applyAlignment="1">
      <alignment wrapText="1"/>
      <protection/>
    </xf>
    <xf numFmtId="0" fontId="70" fillId="0" borderId="26" xfId="22" applyFont="1" applyBorder="1" applyAlignment="1">
      <alignment wrapText="1"/>
      <protection/>
    </xf>
    <xf numFmtId="0" fontId="3" fillId="0" borderId="58" xfId="22" applyFont="1" applyBorder="1" applyAlignment="1">
      <alignment horizontal="center"/>
      <protection/>
    </xf>
    <xf numFmtId="4" fontId="0" fillId="0" borderId="26" xfId="22" applyNumberFormat="1" applyFont="1" applyBorder="1" applyAlignment="1">
      <alignment horizontal="right"/>
      <protection/>
    </xf>
    <xf numFmtId="4" fontId="0" fillId="0" borderId="58" xfId="22" applyNumberFormat="1" applyFont="1" applyBorder="1" applyAlignment="1">
      <alignment horizontal="center" vertical="center"/>
      <protection/>
    </xf>
    <xf numFmtId="4" fontId="0" fillId="0" borderId="58" xfId="22" applyNumberFormat="1" applyFont="1" applyBorder="1" applyAlignment="1">
      <alignment horizontal="center" vertical="top"/>
      <protection/>
    </xf>
    <xf numFmtId="4" fontId="0" fillId="0" borderId="26" xfId="22" applyNumberFormat="1" applyFont="1" applyBorder="1" applyAlignment="1">
      <alignment horizontal="right" vertical="center"/>
      <protection/>
    </xf>
    <xf numFmtId="0" fontId="3" fillId="0" borderId="58" xfId="22" applyBorder="1" applyAlignment="1">
      <alignment horizontal="center"/>
      <protection/>
    </xf>
    <xf numFmtId="0" fontId="52" fillId="0" borderId="58" xfId="22" applyFont="1" applyBorder="1" applyAlignment="1">
      <alignment wrapText="1"/>
      <protection/>
    </xf>
    <xf numFmtId="4" fontId="0" fillId="0" borderId="26" xfId="22" applyNumberFormat="1" applyFont="1" applyBorder="1" applyAlignment="1">
      <alignment horizontal="right" vertical="top"/>
      <protection/>
    </xf>
    <xf numFmtId="0" fontId="3" fillId="0" borderId="27" xfId="22" applyBorder="1">
      <alignment/>
      <protection/>
    </xf>
    <xf numFmtId="49" fontId="19" fillId="0" borderId="58" xfId="22" applyNumberFormat="1" applyFont="1" applyBorder="1" applyAlignment="1">
      <alignment horizontal="left"/>
      <protection/>
    </xf>
    <xf numFmtId="0" fontId="3" fillId="0" borderId="58" xfId="22" applyBorder="1" applyAlignment="1">
      <alignment horizontal="right"/>
      <protection/>
    </xf>
    <xf numFmtId="0" fontId="3" fillId="0" borderId="58" xfId="22" applyBorder="1">
      <alignment/>
      <protection/>
    </xf>
    <xf numFmtId="4" fontId="0" fillId="0" borderId="58" xfId="22" applyNumberFormat="1" applyFont="1" applyBorder="1" applyAlignment="1">
      <alignment horizontal="right" vertical="center"/>
      <protection/>
    </xf>
    <xf numFmtId="168" fontId="0" fillId="0" borderId="58" xfId="22" applyNumberFormat="1" applyFont="1" applyBorder="1" applyAlignment="1">
      <alignment horizontal="right"/>
      <protection/>
    </xf>
    <xf numFmtId="168" fontId="0" fillId="0" borderId="58" xfId="22" applyNumberFormat="1" applyFont="1" applyBorder="1" applyAlignment="1">
      <alignment horizontal="right" vertical="center"/>
      <protection/>
    </xf>
    <xf numFmtId="4" fontId="0" fillId="0" borderId="58" xfId="22" applyNumberFormat="1" applyFont="1" applyBorder="1" applyAlignment="1">
      <alignment vertical="center"/>
      <protection/>
    </xf>
    <xf numFmtId="167" fontId="0" fillId="0" borderId="58" xfId="22" applyNumberFormat="1" applyFont="1" applyBorder="1" applyAlignment="1">
      <alignment horizontal="right"/>
      <protection/>
    </xf>
    <xf numFmtId="0" fontId="3" fillId="0" borderId="60" xfId="22" applyFont="1" applyBorder="1" applyAlignment="1">
      <alignment horizontal="center" vertical="top"/>
      <protection/>
    </xf>
    <xf numFmtId="0" fontId="34" fillId="0" borderId="60" xfId="22" applyFont="1" applyBorder="1" applyAlignment="1">
      <alignment horizontal="center" wrapText="1"/>
      <protection/>
    </xf>
    <xf numFmtId="0" fontId="70" fillId="0" borderId="60" xfId="22" applyFont="1" applyBorder="1" applyAlignment="1">
      <alignment wrapText="1"/>
      <protection/>
    </xf>
    <xf numFmtId="49" fontId="0" fillId="0" borderId="60" xfId="22" applyNumberFormat="1" applyFont="1" applyBorder="1" applyAlignment="1">
      <alignment horizontal="center" shrinkToFit="1"/>
      <protection/>
    </xf>
    <xf numFmtId="4" fontId="0" fillId="0" borderId="60" xfId="22" applyNumberFormat="1" applyFont="1" applyBorder="1" applyAlignment="1">
      <alignment horizontal="right"/>
      <protection/>
    </xf>
    <xf numFmtId="4" fontId="0" fillId="0" borderId="60" xfId="22" applyNumberFormat="1" applyFont="1" applyBorder="1">
      <alignment/>
      <protection/>
    </xf>
    <xf numFmtId="49" fontId="0" fillId="0" borderId="58" xfId="22" applyNumberFormat="1" applyFont="1" applyBorder="1" applyAlignment="1">
      <alignment vertical="center" wrapText="1"/>
      <protection/>
    </xf>
    <xf numFmtId="167" fontId="0" fillId="0" borderId="58" xfId="22" applyNumberFormat="1" applyFont="1" applyBorder="1">
      <alignment/>
      <protection/>
    </xf>
    <xf numFmtId="0" fontId="3" fillId="0" borderId="0" xfId="22" applyFont="1" applyAlignment="1">
      <alignment horizontal="center" vertical="center"/>
      <protection/>
    </xf>
    <xf numFmtId="0" fontId="73" fillId="0" borderId="58" xfId="22" applyFont="1" applyBorder="1" applyAlignment="1">
      <alignment wrapText="1"/>
      <protection/>
    </xf>
    <xf numFmtId="4" fontId="51" fillId="0" borderId="58" xfId="22" applyNumberFormat="1" applyFont="1" applyBorder="1">
      <alignment/>
      <protection/>
    </xf>
    <xf numFmtId="0" fontId="1" fillId="8" borderId="60" xfId="22" applyFont="1" applyFill="1" applyBorder="1" applyAlignment="1">
      <alignment horizontal="center"/>
      <protection/>
    </xf>
    <xf numFmtId="49" fontId="74" fillId="8" borderId="60" xfId="22" applyNumberFormat="1" applyFont="1" applyFill="1" applyBorder="1" applyAlignment="1">
      <alignment horizontal="left"/>
      <protection/>
    </xf>
    <xf numFmtId="0" fontId="74" fillId="8" borderId="62" xfId="22" applyFont="1" applyFill="1" applyBorder="1">
      <alignment/>
      <protection/>
    </xf>
    <xf numFmtId="0" fontId="1" fillId="8" borderId="63" xfId="22" applyFont="1" applyFill="1" applyBorder="1" applyAlignment="1">
      <alignment horizontal="center"/>
      <protection/>
    </xf>
    <xf numFmtId="4" fontId="1" fillId="8" borderId="63" xfId="22" applyNumberFormat="1" applyFont="1" applyFill="1" applyBorder="1" applyAlignment="1">
      <alignment horizontal="right"/>
      <protection/>
    </xf>
    <xf numFmtId="4" fontId="1" fillId="8" borderId="61" xfId="22" applyNumberFormat="1" applyFont="1" applyFill="1" applyBorder="1" applyAlignment="1">
      <alignment horizontal="right"/>
      <protection/>
    </xf>
    <xf numFmtId="4" fontId="68" fillId="8" borderId="60" xfId="22" applyNumberFormat="1" applyFont="1" applyFill="1" applyBorder="1">
      <alignment/>
      <protection/>
    </xf>
    <xf numFmtId="0" fontId="19" fillId="0" borderId="58" xfId="22" applyFont="1" applyBorder="1" applyAlignment="1">
      <alignment horizontal="center"/>
      <protection/>
    </xf>
    <xf numFmtId="0" fontId="0" fillId="0" borderId="0" xfId="22" applyFont="1" applyAlignment="1">
      <alignment wrapText="1"/>
      <protection/>
    </xf>
    <xf numFmtId="0" fontId="23" fillId="0" borderId="58" xfId="23" applyFont="1" applyBorder="1" applyAlignment="1" applyProtection="1">
      <alignment horizontal="center" wrapText="1"/>
      <protection locked="0"/>
    </xf>
    <xf numFmtId="0" fontId="75" fillId="0" borderId="58" xfId="23" applyFont="1" applyBorder="1" applyAlignment="1" applyProtection="1">
      <alignment horizontal="center"/>
      <protection locked="0"/>
    </xf>
    <xf numFmtId="4" fontId="75" fillId="0" borderId="58" xfId="23" applyNumberFormat="1" applyFont="1" applyBorder="1" applyAlignment="1" applyProtection="1">
      <alignment horizontal="center"/>
      <protection locked="0"/>
    </xf>
    <xf numFmtId="44" fontId="67" fillId="0" borderId="27" xfId="23" applyNumberFormat="1" applyFont="1" applyBorder="1" applyAlignment="1" applyProtection="1">
      <alignment horizontal="center"/>
      <protection locked="0"/>
    </xf>
    <xf numFmtId="0" fontId="0" fillId="0" borderId="58" xfId="22" applyFont="1" applyBorder="1" applyAlignment="1">
      <alignment horizontal="left" wrapText="1"/>
      <protection/>
    </xf>
    <xf numFmtId="49" fontId="0" fillId="0" borderId="58" xfId="22" applyNumberFormat="1" applyFont="1" applyBorder="1" applyAlignment="1">
      <alignment horizontal="left"/>
      <protection/>
    </xf>
    <xf numFmtId="167" fontId="51" fillId="0" borderId="58" xfId="22" applyNumberFormat="1" applyFont="1" applyBorder="1">
      <alignment/>
      <protection/>
    </xf>
    <xf numFmtId="0" fontId="2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3" fillId="0" borderId="0" xfId="21" applyNumberFormat="1" applyFont="1" applyFill="1" applyBorder="1" applyAlignment="1" applyProtection="1">
      <alignment horizontal="center" vertical="center" wrapText="1"/>
      <protection/>
    </xf>
    <xf numFmtId="0" fontId="53" fillId="0" borderId="0" xfId="21" applyNumberFormat="1" applyFont="1" applyFill="1" applyBorder="1" applyAlignment="1" applyProtection="1">
      <alignment horizontal="center" vertical="center"/>
      <protection/>
    </xf>
    <xf numFmtId="0" fontId="55" fillId="0" borderId="1" xfId="21" applyNumberFormat="1" applyFont="1" applyFill="1" applyBorder="1" applyAlignment="1" applyProtection="1">
      <alignment horizontal="left" vertical="center" wrapText="1"/>
      <protection/>
    </xf>
    <xf numFmtId="0" fontId="55" fillId="0" borderId="2" xfId="21" applyNumberFormat="1" applyFont="1" applyFill="1" applyBorder="1" applyAlignment="1" applyProtection="1">
      <alignment horizontal="left" vertical="center"/>
      <protection/>
    </xf>
    <xf numFmtId="0" fontId="55" fillId="0" borderId="3" xfId="21" applyNumberFormat="1" applyFont="1" applyFill="1" applyBorder="1" applyAlignment="1" applyProtection="1">
      <alignment horizontal="left" vertical="center"/>
      <protection/>
    </xf>
    <xf numFmtId="0" fontId="55" fillId="0" borderId="0" xfId="21" applyNumberFormat="1" applyFont="1" applyFill="1" applyBorder="1" applyAlignment="1" applyProtection="1">
      <alignment horizontal="left" vertical="center"/>
      <protection/>
    </xf>
    <xf numFmtId="0" fontId="56" fillId="0" borderId="2" xfId="21" applyNumberFormat="1" applyFont="1" applyFill="1" applyBorder="1" applyAlignment="1" applyProtection="1">
      <alignment horizontal="left" vertical="center" wrapText="1"/>
      <protection/>
    </xf>
    <xf numFmtId="0" fontId="56" fillId="0" borderId="2" xfId="21" applyNumberFormat="1" applyFont="1" applyFill="1" applyBorder="1" applyAlignment="1" applyProtection="1">
      <alignment horizontal="left" vertical="center"/>
      <protection/>
    </xf>
    <xf numFmtId="0" fontId="56" fillId="0" borderId="0" xfId="21" applyNumberFormat="1" applyFont="1" applyFill="1" applyBorder="1" applyAlignment="1" applyProtection="1">
      <alignment horizontal="left" vertical="center"/>
      <protection/>
    </xf>
    <xf numFmtId="0" fontId="55" fillId="0" borderId="2" xfId="21" applyNumberFormat="1" applyFont="1" applyFill="1" applyBorder="1" applyAlignment="1" applyProtection="1">
      <alignment horizontal="left" vertical="center" wrapText="1"/>
      <protection/>
    </xf>
    <xf numFmtId="0" fontId="55" fillId="0" borderId="65" xfId="21" applyNumberFormat="1" applyFont="1" applyFill="1" applyBorder="1" applyAlignment="1" applyProtection="1">
      <alignment horizontal="left" vertical="center"/>
      <protection/>
    </xf>
    <xf numFmtId="0" fontId="55" fillId="0" borderId="36" xfId="21" applyNumberFormat="1" applyFont="1" applyFill="1" applyBorder="1" applyAlignment="1" applyProtection="1">
      <alignment horizontal="left" vertical="center"/>
      <protection/>
    </xf>
    <xf numFmtId="0" fontId="55" fillId="0" borderId="3" xfId="21" applyNumberFormat="1" applyFont="1" applyFill="1" applyBorder="1" applyAlignment="1" applyProtection="1">
      <alignment horizontal="left" vertical="center" wrapText="1"/>
      <protection/>
    </xf>
    <xf numFmtId="0" fontId="55" fillId="0" borderId="0" xfId="21" applyNumberFormat="1" applyFont="1" applyFill="1" applyBorder="1" applyAlignment="1" applyProtection="1">
      <alignment horizontal="left" vertical="center" wrapText="1"/>
      <protection/>
    </xf>
    <xf numFmtId="0" fontId="55" fillId="0" borderId="36" xfId="21" applyNumberFormat="1" applyFont="1" applyFill="1" applyBorder="1" applyAlignment="1" applyProtection="1">
      <alignment horizontal="left" vertical="center" wrapText="1"/>
      <protection/>
    </xf>
    <xf numFmtId="0" fontId="55" fillId="0" borderId="34" xfId="21" applyNumberFormat="1" applyFont="1" applyFill="1" applyBorder="1" applyAlignment="1" applyProtection="1">
      <alignment horizontal="left" vertical="center"/>
      <protection/>
    </xf>
    <xf numFmtId="1" fontId="55" fillId="0" borderId="36" xfId="21" applyNumberFormat="1" applyFont="1" applyFill="1" applyBorder="1" applyAlignment="1" applyProtection="1">
      <alignment horizontal="left" vertical="center"/>
      <protection/>
    </xf>
    <xf numFmtId="0" fontId="55" fillId="0" borderId="8" xfId="21" applyNumberFormat="1" applyFont="1" applyFill="1" applyBorder="1" applyAlignment="1" applyProtection="1">
      <alignment horizontal="left" vertical="center"/>
      <protection/>
    </xf>
    <xf numFmtId="0" fontId="55" fillId="0" borderId="9" xfId="21" applyNumberFormat="1" applyFont="1" applyFill="1" applyBorder="1" applyAlignment="1" applyProtection="1">
      <alignment horizontal="left" vertical="center"/>
      <protection/>
    </xf>
    <xf numFmtId="0" fontId="57" fillId="0" borderId="0" xfId="21" applyNumberFormat="1" applyFont="1" applyFill="1" applyBorder="1" applyAlignment="1" applyProtection="1">
      <alignment horizontal="center" vertical="center"/>
      <protection/>
    </xf>
    <xf numFmtId="0" fontId="59" fillId="0" borderId="66" xfId="21" applyNumberFormat="1" applyFont="1" applyFill="1" applyBorder="1" applyAlignment="1" applyProtection="1">
      <alignment horizontal="left" vertical="center"/>
      <protection/>
    </xf>
    <xf numFmtId="0" fontId="59" fillId="0" borderId="32" xfId="21" applyNumberFormat="1" applyFont="1" applyFill="1" applyBorder="1" applyAlignment="1" applyProtection="1">
      <alignment horizontal="left" vertical="center"/>
      <protection/>
    </xf>
    <xf numFmtId="0" fontId="61" fillId="0" borderId="9" xfId="21" applyNumberFormat="1" applyFont="1" applyFill="1" applyBorder="1" applyAlignment="1" applyProtection="1">
      <alignment horizontal="left" vertical="center"/>
      <protection/>
    </xf>
    <xf numFmtId="0" fontId="61" fillId="0" borderId="34" xfId="21" applyNumberFormat="1" applyFont="1" applyFill="1" applyBorder="1" applyAlignment="1" applyProtection="1">
      <alignment horizontal="left" vertical="center"/>
      <protection/>
    </xf>
    <xf numFmtId="0" fontId="60" fillId="0" borderId="8" xfId="21" applyNumberFormat="1" applyFont="1" applyFill="1" applyBorder="1" applyAlignment="1" applyProtection="1">
      <alignment horizontal="left" vertical="center"/>
      <protection/>
    </xf>
    <xf numFmtId="0" fontId="60" fillId="0" borderId="34" xfId="21" applyNumberFormat="1" applyFont="1" applyFill="1" applyBorder="1" applyAlignment="1" applyProtection="1">
      <alignment horizontal="left" vertical="center"/>
      <protection/>
    </xf>
    <xf numFmtId="0" fontId="60" fillId="5" borderId="8" xfId="21" applyNumberFormat="1" applyFont="1" applyFill="1" applyBorder="1" applyAlignment="1" applyProtection="1">
      <alignment horizontal="left" vertical="center"/>
      <protection/>
    </xf>
    <xf numFmtId="0" fontId="60" fillId="5" borderId="9" xfId="21" applyNumberFormat="1" applyFont="1" applyFill="1" applyBorder="1" applyAlignment="1" applyProtection="1">
      <alignment horizontal="left" vertical="center"/>
      <protection/>
    </xf>
    <xf numFmtId="0" fontId="60" fillId="5" borderId="66" xfId="21" applyNumberFormat="1" applyFont="1" applyFill="1" applyBorder="1" applyAlignment="1" applyProtection="1">
      <alignment horizontal="left" vertical="center"/>
      <protection/>
    </xf>
    <xf numFmtId="0" fontId="60" fillId="0" borderId="3" xfId="21" applyNumberFormat="1" applyFont="1" applyFill="1" applyBorder="1" applyAlignment="1" applyProtection="1">
      <alignment horizontal="left" vertical="center"/>
      <protection/>
    </xf>
    <xf numFmtId="0" fontId="60" fillId="0" borderId="36" xfId="21" applyNumberFormat="1" applyFont="1" applyFill="1" applyBorder="1" applyAlignment="1" applyProtection="1">
      <alignment horizontal="left" vertical="center"/>
      <protection/>
    </xf>
    <xf numFmtId="0" fontId="61" fillId="0" borderId="0" xfId="21" applyNumberFormat="1" applyFont="1" applyFill="1" applyBorder="1" applyAlignment="1" applyProtection="1">
      <alignment horizontal="left" vertical="center"/>
      <protection/>
    </xf>
    <xf numFmtId="0" fontId="61" fillId="0" borderId="36" xfId="21" applyNumberFormat="1" applyFont="1" applyFill="1" applyBorder="1" applyAlignment="1" applyProtection="1">
      <alignment horizontal="left" vertical="center"/>
      <protection/>
    </xf>
    <xf numFmtId="0" fontId="60" fillId="0" borderId="67" xfId="21" applyNumberFormat="1" applyFont="1" applyFill="1" applyBorder="1" applyAlignment="1" applyProtection="1">
      <alignment horizontal="left" vertical="center"/>
      <protection/>
    </xf>
    <xf numFmtId="0" fontId="60" fillId="0" borderId="32" xfId="21" applyNumberFormat="1" applyFont="1" applyFill="1" applyBorder="1" applyAlignment="1" applyProtection="1">
      <alignment horizontal="left" vertical="center"/>
      <protection/>
    </xf>
    <xf numFmtId="0" fontId="60" fillId="0" borderId="66" xfId="21" applyNumberFormat="1" applyFont="1" applyFill="1" applyBorder="1" applyAlignment="1" applyProtection="1">
      <alignment horizontal="left" vertical="center"/>
      <protection/>
    </xf>
    <xf numFmtId="0" fontId="60" fillId="0" borderId="9" xfId="21" applyNumberFormat="1" applyFont="1" applyFill="1" applyBorder="1" applyAlignment="1" applyProtection="1">
      <alignment horizontal="left" vertical="center"/>
      <protection/>
    </xf>
    <xf numFmtId="0" fontId="60" fillId="5" borderId="67" xfId="21" applyNumberFormat="1" applyFont="1" applyFill="1" applyBorder="1" applyAlignment="1" applyProtection="1">
      <alignment horizontal="left" vertical="center"/>
      <protection/>
    </xf>
    <xf numFmtId="0" fontId="61" fillId="0" borderId="68" xfId="21" applyNumberFormat="1" applyFont="1" applyFill="1" applyBorder="1" applyAlignment="1" applyProtection="1">
      <alignment horizontal="left" vertical="center"/>
      <protection/>
    </xf>
    <xf numFmtId="0" fontId="61" fillId="0" borderId="44" xfId="21" applyNumberFormat="1" applyFont="1" applyFill="1" applyBorder="1" applyAlignment="1" applyProtection="1">
      <alignment horizontal="left" vertical="center"/>
      <protection/>
    </xf>
    <xf numFmtId="0" fontId="61" fillId="0" borderId="69" xfId="21" applyNumberFormat="1" applyFont="1" applyFill="1" applyBorder="1" applyAlignment="1" applyProtection="1">
      <alignment horizontal="left" vertical="center"/>
      <protection/>
    </xf>
    <xf numFmtId="0" fontId="61" fillId="0" borderId="70" xfId="21" applyNumberFormat="1" applyFont="1" applyFill="1" applyBorder="1" applyAlignment="1" applyProtection="1">
      <alignment horizontal="left" vertical="center"/>
      <protection/>
    </xf>
    <xf numFmtId="0" fontId="61" fillId="0" borderId="71" xfId="21" applyNumberFormat="1" applyFont="1" applyFill="1" applyBorder="1" applyAlignment="1" applyProtection="1">
      <alignment horizontal="left" vertical="center"/>
      <protection/>
    </xf>
    <xf numFmtId="0" fontId="61" fillId="0" borderId="72" xfId="21" applyNumberFormat="1" applyFont="1" applyFill="1" applyBorder="1" applyAlignment="1" applyProtection="1">
      <alignment horizontal="left" vertical="center"/>
      <protection/>
    </xf>
    <xf numFmtId="0" fontId="61" fillId="0" borderId="47" xfId="21" applyNumberFormat="1" applyFont="1" applyFill="1" applyBorder="1" applyAlignment="1" applyProtection="1">
      <alignment horizontal="left" vertical="center"/>
      <protection/>
    </xf>
    <xf numFmtId="0" fontId="61" fillId="0" borderId="48" xfId="21" applyNumberFormat="1" applyFont="1" applyFill="1" applyBorder="1" applyAlignment="1" applyProtection="1">
      <alignment horizontal="left" vertical="center"/>
      <protection/>
    </xf>
    <xf numFmtId="0" fontId="55" fillId="0" borderId="65" xfId="21" applyNumberFormat="1" applyFont="1" applyFill="1" applyBorder="1" applyAlignment="1" applyProtection="1">
      <alignment horizontal="left" vertical="center" wrapText="1"/>
      <protection/>
    </xf>
    <xf numFmtId="0" fontId="56" fillId="0" borderId="44" xfId="21" applyNumberFormat="1" applyFont="1" applyFill="1" applyBorder="1" applyAlignment="1" applyProtection="1">
      <alignment horizontal="left" vertical="center"/>
      <protection/>
    </xf>
    <xf numFmtId="0" fontId="56" fillId="0" borderId="43" xfId="21" applyNumberFormat="1" applyFont="1" applyFill="1" applyBorder="1" applyAlignment="1" applyProtection="1">
      <alignment horizontal="left" vertical="center"/>
      <protection/>
    </xf>
    <xf numFmtId="0" fontId="56" fillId="0" borderId="73" xfId="21" applyNumberFormat="1" applyFont="1" applyFill="1" applyBorder="1" applyAlignment="1" applyProtection="1">
      <alignment horizontal="center" vertical="center"/>
      <protection/>
    </xf>
    <xf numFmtId="0" fontId="56" fillId="0" borderId="74" xfId="21" applyNumberFormat="1" applyFont="1" applyFill="1" applyBorder="1" applyAlignment="1" applyProtection="1">
      <alignment horizontal="center" vertical="center"/>
      <protection/>
    </xf>
    <xf numFmtId="0" fontId="56" fillId="0" borderId="75" xfId="21" applyNumberFormat="1" applyFont="1" applyFill="1" applyBorder="1" applyAlignment="1" applyProtection="1">
      <alignment horizontal="center" vertical="center"/>
      <protection/>
    </xf>
    <xf numFmtId="0" fontId="56" fillId="0" borderId="47" xfId="21" applyNumberFormat="1" applyFont="1" applyFill="1" applyBorder="1" applyAlignment="1" applyProtection="1">
      <alignment horizontal="left" vertical="center"/>
      <protection/>
    </xf>
    <xf numFmtId="0" fontId="56" fillId="0" borderId="37" xfId="21" applyNumberFormat="1" applyFont="1" applyFill="1" applyBorder="1" applyAlignment="1" applyProtection="1">
      <alignment horizontal="left" vertical="center"/>
      <protection/>
    </xf>
    <xf numFmtId="0" fontId="56" fillId="5" borderId="0" xfId="21" applyNumberFormat="1" applyFont="1" applyFill="1" applyBorder="1" applyAlignment="1" applyProtection="1">
      <alignment horizontal="left" vertical="center"/>
      <protection/>
    </xf>
    <xf numFmtId="0" fontId="63" fillId="0" borderId="0" xfId="22" applyFont="1" applyAlignment="1">
      <alignment horizontal="center"/>
      <protection/>
    </xf>
    <xf numFmtId="0" fontId="3" fillId="0" borderId="76" xfId="22" applyBorder="1" applyAlignment="1">
      <alignment horizontal="center"/>
      <protection/>
    </xf>
    <xf numFmtId="0" fontId="3" fillId="0" borderId="77" xfId="22" applyBorder="1" applyAlignment="1">
      <alignment horizontal="center"/>
      <protection/>
    </xf>
    <xf numFmtId="49" fontId="3" fillId="0" borderId="78" xfId="22" applyNumberFormat="1" applyBorder="1" applyAlignment="1">
      <alignment horizontal="center"/>
      <protection/>
    </xf>
    <xf numFmtId="49" fontId="3" fillId="0" borderId="79" xfId="22" applyNumberFormat="1" applyBorder="1" applyAlignment="1">
      <alignment horizontal="center"/>
      <protection/>
    </xf>
    <xf numFmtId="0" fontId="3" fillId="0" borderId="80" xfId="22" applyBorder="1" applyAlignment="1">
      <alignment horizontal="center" shrinkToFit="1"/>
      <protection/>
    </xf>
    <xf numFmtId="0" fontId="3" fillId="0" borderId="53" xfId="22" applyBorder="1" applyAlignment="1">
      <alignment horizontal="center" shrinkToFit="1"/>
      <protection/>
    </xf>
    <xf numFmtId="0" fontId="3" fillId="0" borderId="81" xfId="22" applyBorder="1" applyAlignment="1">
      <alignment horizontal="center" shrinkToFit="1"/>
      <protection/>
    </xf>
    <xf numFmtId="49" fontId="15" fillId="0" borderId="0" xfId="23" applyNumberFormat="1" applyFont="1" applyAlignment="1">
      <alignment horizont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POL.XLS" xfId="22"/>
    <cellStyle name="Normální 3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666750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62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390525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04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103" TargetMode="External" /><Relationship Id="rId2" Type="http://schemas.openxmlformats.org/officeDocument/2006/relationships/hyperlink" Target="https://podminky.urs.cz/item/CS_URS_2022_02/162351103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174151101" TargetMode="External" /><Relationship Id="rId6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2303000" TargetMode="External" /><Relationship Id="rId3" Type="http://schemas.openxmlformats.org/officeDocument/2006/relationships/hyperlink" Target="https://podminky.urs.cz/item/CS_URS_2022_02/013244000" TargetMode="External" /><Relationship Id="rId4" Type="http://schemas.openxmlformats.org/officeDocument/2006/relationships/hyperlink" Target="https://podminky.urs.cz/item/CS_URS_2022_02/013254000" TargetMode="External" /><Relationship Id="rId5" Type="http://schemas.openxmlformats.org/officeDocument/2006/relationships/hyperlink" Target="https://podminky.urs.cz/item/CS_URS_2022_02/030001000" TargetMode="External" /><Relationship Id="rId6" Type="http://schemas.openxmlformats.org/officeDocument/2006/relationships/hyperlink" Target="https://podminky.urs.cz/item/CS_URS_2022_02/031002000" TargetMode="External" /><Relationship Id="rId7" Type="http://schemas.openxmlformats.org/officeDocument/2006/relationships/hyperlink" Target="https://podminky.urs.cz/item/CS_URS_2022_02/049103000" TargetMode="External" /><Relationship Id="rId8" Type="http://schemas.openxmlformats.org/officeDocument/2006/relationships/hyperlink" Target="https://podminky.urs.cz/item/CS_URS_2022_02/034503000" TargetMode="External" /><Relationship Id="rId9" Type="http://schemas.openxmlformats.org/officeDocument/2006/relationships/hyperlink" Target="https://podminky.urs.cz/item/CS_URS_2022_02/043103000" TargetMode="External" /><Relationship Id="rId10" Type="http://schemas.openxmlformats.org/officeDocument/2006/relationships/hyperlink" Target="https://podminky.urs.cz/item/CS_URS_2022_02/045203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21" TargetMode="External" /><Relationship Id="rId2" Type="http://schemas.openxmlformats.org/officeDocument/2006/relationships/hyperlink" Target="https://podminky.urs.cz/item/CS_URS_2022_02/113106142" TargetMode="External" /><Relationship Id="rId3" Type="http://schemas.openxmlformats.org/officeDocument/2006/relationships/hyperlink" Target="https://podminky.urs.cz/item/CS_URS_2022_02/113106190" TargetMode="External" /><Relationship Id="rId4" Type="http://schemas.openxmlformats.org/officeDocument/2006/relationships/hyperlink" Target="https://podminky.urs.cz/item/CS_URS_2022_02/113107161" TargetMode="External" /><Relationship Id="rId5" Type="http://schemas.openxmlformats.org/officeDocument/2006/relationships/hyperlink" Target="https://podminky.urs.cz/item/CS_URS_2022_02/113107162" TargetMode="External" /><Relationship Id="rId6" Type="http://schemas.openxmlformats.org/officeDocument/2006/relationships/hyperlink" Target="https://podminky.urs.cz/item/CS_URS_2022_02/113107222" TargetMode="External" /><Relationship Id="rId7" Type="http://schemas.openxmlformats.org/officeDocument/2006/relationships/hyperlink" Target="https://podminky.urs.cz/item/CS_URS_2022_02/113107223" TargetMode="External" /><Relationship Id="rId8" Type="http://schemas.openxmlformats.org/officeDocument/2006/relationships/hyperlink" Target="https://podminky.urs.cz/item/CS_URS_2022_02/113107231" TargetMode="External" /><Relationship Id="rId9" Type="http://schemas.openxmlformats.org/officeDocument/2006/relationships/hyperlink" Target="https://podminky.urs.cz/item/CS_URS_2022_02/113107241" TargetMode="External" /><Relationship Id="rId10" Type="http://schemas.openxmlformats.org/officeDocument/2006/relationships/hyperlink" Target="https://podminky.urs.cz/item/CS_URS_2022_02/113154263" TargetMode="External" /><Relationship Id="rId11" Type="http://schemas.openxmlformats.org/officeDocument/2006/relationships/hyperlink" Target="https://podminky.urs.cz/item/CS_URS_2022_02/113154264" TargetMode="External" /><Relationship Id="rId12" Type="http://schemas.openxmlformats.org/officeDocument/2006/relationships/hyperlink" Target="https://podminky.urs.cz/item/CS_URS_2022_02/113201111" TargetMode="External" /><Relationship Id="rId13" Type="http://schemas.openxmlformats.org/officeDocument/2006/relationships/hyperlink" Target="https://podminky.urs.cz/item/CS_URS_2022_02/113202111" TargetMode="External" /><Relationship Id="rId14" Type="http://schemas.openxmlformats.org/officeDocument/2006/relationships/hyperlink" Target="https://podminky.urs.cz/item/CS_URS_2022_02/121151123" TargetMode="External" /><Relationship Id="rId15" Type="http://schemas.openxmlformats.org/officeDocument/2006/relationships/hyperlink" Target="https://podminky.urs.cz/item/CS_URS_2022_02/122252204" TargetMode="External" /><Relationship Id="rId16" Type="http://schemas.openxmlformats.org/officeDocument/2006/relationships/hyperlink" Target="https://podminky.urs.cz/item/CS_URS_2022_02/129951123" TargetMode="External" /><Relationship Id="rId17" Type="http://schemas.openxmlformats.org/officeDocument/2006/relationships/hyperlink" Target="https://podminky.urs.cz/item/CS_URS_2022_02/131151102" TargetMode="External" /><Relationship Id="rId18" Type="http://schemas.openxmlformats.org/officeDocument/2006/relationships/hyperlink" Target="https://podminky.urs.cz/item/CS_URS_2022_02/132251104" TargetMode="External" /><Relationship Id="rId19" Type="http://schemas.openxmlformats.org/officeDocument/2006/relationships/hyperlink" Target="https://podminky.urs.cz/item/CS_URS_2022_02/162351103" TargetMode="External" /><Relationship Id="rId20" Type="http://schemas.openxmlformats.org/officeDocument/2006/relationships/hyperlink" Target="https://podminky.urs.cz/item/CS_URS_2022_02/162751117" TargetMode="External" /><Relationship Id="rId21" Type="http://schemas.openxmlformats.org/officeDocument/2006/relationships/hyperlink" Target="https://podminky.urs.cz/item/CS_URS_2022_02/162751117" TargetMode="External" /><Relationship Id="rId22" Type="http://schemas.openxmlformats.org/officeDocument/2006/relationships/hyperlink" Target="https://podminky.urs.cz/item/CS_URS_2022_02/162751119" TargetMode="External" /><Relationship Id="rId23" Type="http://schemas.openxmlformats.org/officeDocument/2006/relationships/hyperlink" Target="https://podminky.urs.cz/item/CS_URS_2022_02/162751119" TargetMode="External" /><Relationship Id="rId24" Type="http://schemas.openxmlformats.org/officeDocument/2006/relationships/hyperlink" Target="https://podminky.urs.cz/item/CS_URS_2022_02/167151111" TargetMode="External" /><Relationship Id="rId25" Type="http://schemas.openxmlformats.org/officeDocument/2006/relationships/hyperlink" Target="https://podminky.urs.cz/item/CS_URS_2022_02/171152112" TargetMode="External" /><Relationship Id="rId26" Type="http://schemas.openxmlformats.org/officeDocument/2006/relationships/hyperlink" Target="https://podminky.urs.cz/item/CS_URS_2022_02/171251201" TargetMode="External" /><Relationship Id="rId27" Type="http://schemas.openxmlformats.org/officeDocument/2006/relationships/hyperlink" Target="https://podminky.urs.cz/item/CS_URS_2022_02/175151101" TargetMode="External" /><Relationship Id="rId28" Type="http://schemas.openxmlformats.org/officeDocument/2006/relationships/hyperlink" Target="https://podminky.urs.cz/item/CS_URS_2022_02/181152302" TargetMode="External" /><Relationship Id="rId29" Type="http://schemas.openxmlformats.org/officeDocument/2006/relationships/hyperlink" Target="https://podminky.urs.cz/item/CS_URS_2022_02/184853511" TargetMode="External" /><Relationship Id="rId30" Type="http://schemas.openxmlformats.org/officeDocument/2006/relationships/hyperlink" Target="https://podminky.urs.cz/item/CS_URS_2021_02/211521111" TargetMode="External" /><Relationship Id="rId31" Type="http://schemas.openxmlformats.org/officeDocument/2006/relationships/hyperlink" Target="https://podminky.urs.cz/item/CS_URS_2022_01/211971110" TargetMode="External" /><Relationship Id="rId32" Type="http://schemas.openxmlformats.org/officeDocument/2006/relationships/hyperlink" Target="https://podminky.urs.cz/item/CS_URS_2021_02/212532111" TargetMode="External" /><Relationship Id="rId33" Type="http://schemas.openxmlformats.org/officeDocument/2006/relationships/hyperlink" Target="https://podminky.urs.cz/item/CS_URS_2022_01/212752102" TargetMode="External" /><Relationship Id="rId34" Type="http://schemas.openxmlformats.org/officeDocument/2006/relationships/hyperlink" Target="https://podminky.urs.cz/item/CS_URS_2022_02/452112122" TargetMode="External" /><Relationship Id="rId35" Type="http://schemas.openxmlformats.org/officeDocument/2006/relationships/hyperlink" Target="https://podminky.urs.cz/item/CS_URS_2022_02/564851011" TargetMode="External" /><Relationship Id="rId36" Type="http://schemas.openxmlformats.org/officeDocument/2006/relationships/hyperlink" Target="https://podminky.urs.cz/item/CS_URS_2022_02/564861111" TargetMode="External" /><Relationship Id="rId37" Type="http://schemas.openxmlformats.org/officeDocument/2006/relationships/hyperlink" Target="https://podminky.urs.cz/item/CS_URS_2022_01/565155111" TargetMode="External" /><Relationship Id="rId38" Type="http://schemas.openxmlformats.org/officeDocument/2006/relationships/hyperlink" Target="https://podminky.urs.cz/item/CS_URS_2022_02/567122114" TargetMode="External" /><Relationship Id="rId39" Type="http://schemas.openxmlformats.org/officeDocument/2006/relationships/hyperlink" Target="https://podminky.urs.cz/item/CS_URS_2022_01/567132113" TargetMode="External" /><Relationship Id="rId40" Type="http://schemas.openxmlformats.org/officeDocument/2006/relationships/hyperlink" Target="https://podminky.urs.cz/item/CS_URS_2021_02/573191111" TargetMode="External" /><Relationship Id="rId41" Type="http://schemas.openxmlformats.org/officeDocument/2006/relationships/hyperlink" Target="https://podminky.urs.cz/item/CS_URS_2021_02/573231108" TargetMode="External" /><Relationship Id="rId42" Type="http://schemas.openxmlformats.org/officeDocument/2006/relationships/hyperlink" Target="https://podminky.urs.cz/item/CS_URS_2022_01/577144111" TargetMode="External" /><Relationship Id="rId43" Type="http://schemas.openxmlformats.org/officeDocument/2006/relationships/hyperlink" Target="https://podminky.urs.cz/item/CS_URS_2022_02/594511113" TargetMode="External" /><Relationship Id="rId44" Type="http://schemas.openxmlformats.org/officeDocument/2006/relationships/hyperlink" Target="https://podminky.urs.cz/item/CS_URS_2022_02/596211212" TargetMode="External" /><Relationship Id="rId45" Type="http://schemas.openxmlformats.org/officeDocument/2006/relationships/hyperlink" Target="https://podminky.urs.cz/item/CS_URS_2022_01/871310310.1" TargetMode="External" /><Relationship Id="rId46" Type="http://schemas.openxmlformats.org/officeDocument/2006/relationships/hyperlink" Target="https://podminky.urs.cz/item/CS_URS_2022_02/895211131" TargetMode="External" /><Relationship Id="rId47" Type="http://schemas.openxmlformats.org/officeDocument/2006/relationships/hyperlink" Target="https://podminky.urs.cz/item/CS_URS_2022_02/895941102" TargetMode="External" /><Relationship Id="rId48" Type="http://schemas.openxmlformats.org/officeDocument/2006/relationships/hyperlink" Target="https://podminky.urs.cz/item/CS_URS_2022_02/895941343" TargetMode="External" /><Relationship Id="rId49" Type="http://schemas.openxmlformats.org/officeDocument/2006/relationships/hyperlink" Target="https://podminky.urs.cz/item/CS_URS_2022_02/895941351" TargetMode="External" /><Relationship Id="rId50" Type="http://schemas.openxmlformats.org/officeDocument/2006/relationships/hyperlink" Target="https://podminky.urs.cz/item/CS_URS_2022_02/899331111" TargetMode="External" /><Relationship Id="rId51" Type="http://schemas.openxmlformats.org/officeDocument/2006/relationships/hyperlink" Target="https://podminky.urs.cz/item/CS_URS_2022_01/914111111" TargetMode="External" /><Relationship Id="rId52" Type="http://schemas.openxmlformats.org/officeDocument/2006/relationships/hyperlink" Target="https://podminky.urs.cz/item/CS_URS_2022_01/914511112" TargetMode="External" /><Relationship Id="rId53" Type="http://schemas.openxmlformats.org/officeDocument/2006/relationships/hyperlink" Target="https://podminky.urs.cz/item/CS_URS_2022_02/915111112" TargetMode="External" /><Relationship Id="rId54" Type="http://schemas.openxmlformats.org/officeDocument/2006/relationships/hyperlink" Target="https://podminky.urs.cz/item/CS_URS_2022_01/915111116" TargetMode="External" /><Relationship Id="rId55" Type="http://schemas.openxmlformats.org/officeDocument/2006/relationships/hyperlink" Target="https://podminky.urs.cz/item/CS_URS_2022_02/915131112" TargetMode="External" /><Relationship Id="rId56" Type="http://schemas.openxmlformats.org/officeDocument/2006/relationships/hyperlink" Target="https://podminky.urs.cz/item/CS_URS_2022_02/915211112" TargetMode="External" /><Relationship Id="rId57" Type="http://schemas.openxmlformats.org/officeDocument/2006/relationships/hyperlink" Target="https://podminky.urs.cz/item/CS_URS_2022_02/915211116" TargetMode="External" /><Relationship Id="rId58" Type="http://schemas.openxmlformats.org/officeDocument/2006/relationships/hyperlink" Target="https://podminky.urs.cz/item/CS_URS_2022_02/915231112" TargetMode="External" /><Relationship Id="rId59" Type="http://schemas.openxmlformats.org/officeDocument/2006/relationships/hyperlink" Target="https://podminky.urs.cz/item/CS_URS_2022_01/915611111" TargetMode="External" /><Relationship Id="rId60" Type="http://schemas.openxmlformats.org/officeDocument/2006/relationships/hyperlink" Target="https://podminky.urs.cz/item/CS_URS_2022_02/915621111" TargetMode="External" /><Relationship Id="rId61" Type="http://schemas.openxmlformats.org/officeDocument/2006/relationships/hyperlink" Target="https://podminky.urs.cz/item/CS_URS_2022_01/916131213" TargetMode="External" /><Relationship Id="rId62" Type="http://schemas.openxmlformats.org/officeDocument/2006/relationships/hyperlink" Target="https://podminky.urs.cz/item/CS_URS_2022_02/916132113" TargetMode="External" /><Relationship Id="rId63" Type="http://schemas.openxmlformats.org/officeDocument/2006/relationships/hyperlink" Target="https://podminky.urs.cz/item/CS_URS_2022_01/916231213" TargetMode="External" /><Relationship Id="rId64" Type="http://schemas.openxmlformats.org/officeDocument/2006/relationships/hyperlink" Target="https://podminky.urs.cz/item/CS_URS_2022_01/919732211" TargetMode="External" /><Relationship Id="rId65" Type="http://schemas.openxmlformats.org/officeDocument/2006/relationships/hyperlink" Target="https://podminky.urs.cz/item/CS_URS_2022_01/919735111" TargetMode="External" /><Relationship Id="rId66" Type="http://schemas.openxmlformats.org/officeDocument/2006/relationships/hyperlink" Target="https://podminky.urs.cz/item/CS_URS_2022_02/935112211" TargetMode="External" /><Relationship Id="rId67" Type="http://schemas.openxmlformats.org/officeDocument/2006/relationships/hyperlink" Target="https://podminky.urs.cz/item/CS_URS_2022_02/961044111" TargetMode="External" /><Relationship Id="rId68" Type="http://schemas.openxmlformats.org/officeDocument/2006/relationships/hyperlink" Target="https://podminky.urs.cz/item/CS_URS_2022_02/961055111" TargetMode="External" /><Relationship Id="rId69" Type="http://schemas.openxmlformats.org/officeDocument/2006/relationships/hyperlink" Target="https://podminky.urs.cz/item/CS_URS_2022_02/962032230" TargetMode="External" /><Relationship Id="rId70" Type="http://schemas.openxmlformats.org/officeDocument/2006/relationships/hyperlink" Target="https://podminky.urs.cz/item/CS_URS_2022_02/966006132" TargetMode="External" /><Relationship Id="rId71" Type="http://schemas.openxmlformats.org/officeDocument/2006/relationships/hyperlink" Target="https://podminky.urs.cz/item/CS_URS_2022_02/966006211" TargetMode="External" /><Relationship Id="rId72" Type="http://schemas.openxmlformats.org/officeDocument/2006/relationships/hyperlink" Target="https://podminky.urs.cz/item/CS_URS_2022_02/976085211" TargetMode="External" /><Relationship Id="rId73" Type="http://schemas.openxmlformats.org/officeDocument/2006/relationships/hyperlink" Target="https://podminky.urs.cz/item/CS_URS_2022_02/997013863" TargetMode="External" /><Relationship Id="rId74" Type="http://schemas.openxmlformats.org/officeDocument/2006/relationships/hyperlink" Target="https://podminky.urs.cz/item/CS_URS_2022_02/997221551" TargetMode="External" /><Relationship Id="rId75" Type="http://schemas.openxmlformats.org/officeDocument/2006/relationships/hyperlink" Target="https://podminky.urs.cz/item/CS_URS_2022_02/997221551" TargetMode="External" /><Relationship Id="rId76" Type="http://schemas.openxmlformats.org/officeDocument/2006/relationships/hyperlink" Target="https://podminky.urs.cz/item/CS_URS_2022_02/997221559" TargetMode="External" /><Relationship Id="rId77" Type="http://schemas.openxmlformats.org/officeDocument/2006/relationships/hyperlink" Target="https://podminky.urs.cz/item/CS_URS_2022_02/997221561" TargetMode="External" /><Relationship Id="rId78" Type="http://schemas.openxmlformats.org/officeDocument/2006/relationships/hyperlink" Target="https://podminky.urs.cz/item/CS_URS_2022_02/997221569" TargetMode="External" /><Relationship Id="rId79" Type="http://schemas.openxmlformats.org/officeDocument/2006/relationships/hyperlink" Target="https://podminky.urs.cz/item/CS_URS_2022_02/997221861" TargetMode="External" /><Relationship Id="rId80" Type="http://schemas.openxmlformats.org/officeDocument/2006/relationships/hyperlink" Target="https://podminky.urs.cz/item/CS_URS_2022_02/997221873" TargetMode="External" /><Relationship Id="rId81" Type="http://schemas.openxmlformats.org/officeDocument/2006/relationships/hyperlink" Target="https://podminky.urs.cz/item/CS_URS_2022_02/997221875" TargetMode="External" /><Relationship Id="rId82" Type="http://schemas.openxmlformats.org/officeDocument/2006/relationships/hyperlink" Target="https://podminky.urs.cz/item/CS_URS_2022_02/998223011" TargetMode="External" /><Relationship Id="rId83" Type="http://schemas.openxmlformats.org/officeDocument/2006/relationships/hyperlink" Target="https://podminky.urs.cz/item/CS_URS_2022_02/767996801" TargetMode="External" /><Relationship Id="rId8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42" TargetMode="External" /><Relationship Id="rId2" Type="http://schemas.openxmlformats.org/officeDocument/2006/relationships/hyperlink" Target="https://podminky.urs.cz/item/CS_URS_2022_02/113106190" TargetMode="External" /><Relationship Id="rId3" Type="http://schemas.openxmlformats.org/officeDocument/2006/relationships/hyperlink" Target="https://podminky.urs.cz/item/CS_URS_2022_02/113107321" TargetMode="External" /><Relationship Id="rId4" Type="http://schemas.openxmlformats.org/officeDocument/2006/relationships/hyperlink" Target="https://podminky.urs.cz/item/CS_URS_2022_02/113107322" TargetMode="External" /><Relationship Id="rId5" Type="http://schemas.openxmlformats.org/officeDocument/2006/relationships/hyperlink" Target="https://podminky.urs.cz/item/CS_URS_2022_02/113107331" TargetMode="External" /><Relationship Id="rId6" Type="http://schemas.openxmlformats.org/officeDocument/2006/relationships/hyperlink" Target="https://podminky.urs.cz/item/CS_URS_2022_02/113107341" TargetMode="External" /><Relationship Id="rId7" Type="http://schemas.openxmlformats.org/officeDocument/2006/relationships/hyperlink" Target="https://podminky.urs.cz/item/CS_URS_2022_02/113107342" TargetMode="External" /><Relationship Id="rId8" Type="http://schemas.openxmlformats.org/officeDocument/2006/relationships/hyperlink" Target="https://podminky.urs.cz/item/CS_URS_2022_02/113202111" TargetMode="External" /><Relationship Id="rId9" Type="http://schemas.openxmlformats.org/officeDocument/2006/relationships/hyperlink" Target="https://podminky.urs.cz/item/CS_URS_2022_02/122251104" TargetMode="External" /><Relationship Id="rId10" Type="http://schemas.openxmlformats.org/officeDocument/2006/relationships/hyperlink" Target="https://podminky.urs.cz/item/CS_URS_2022_02/132251101" TargetMode="External" /><Relationship Id="rId11" Type="http://schemas.openxmlformats.org/officeDocument/2006/relationships/hyperlink" Target="https://podminky.urs.cz/item/CS_URS_2022_02/162351103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162751119" TargetMode="External" /><Relationship Id="rId14" Type="http://schemas.openxmlformats.org/officeDocument/2006/relationships/hyperlink" Target="https://podminky.urs.cz/item/CS_URS_2022_02/167151111" TargetMode="External" /><Relationship Id="rId15" Type="http://schemas.openxmlformats.org/officeDocument/2006/relationships/hyperlink" Target="https://podminky.urs.cz/item/CS_URS_2022_02/171151111" TargetMode="External" /><Relationship Id="rId16" Type="http://schemas.openxmlformats.org/officeDocument/2006/relationships/hyperlink" Target="https://podminky.urs.cz/item/CS_URS_2022_02/171251201" TargetMode="External" /><Relationship Id="rId17" Type="http://schemas.openxmlformats.org/officeDocument/2006/relationships/hyperlink" Target="https://podminky.urs.cz/item/CS_URS_2022_02/181152302" TargetMode="External" /><Relationship Id="rId18" Type="http://schemas.openxmlformats.org/officeDocument/2006/relationships/hyperlink" Target="https://podminky.urs.cz/item/CS_URS_2022_02/271532212" TargetMode="External" /><Relationship Id="rId19" Type="http://schemas.openxmlformats.org/officeDocument/2006/relationships/hyperlink" Target="https://podminky.urs.cz/item/CS_URS_2022_02/273321511" TargetMode="External" /><Relationship Id="rId20" Type="http://schemas.openxmlformats.org/officeDocument/2006/relationships/hyperlink" Target="https://podminky.urs.cz/item/CS_URS_2022_02/273362021" TargetMode="External" /><Relationship Id="rId21" Type="http://schemas.openxmlformats.org/officeDocument/2006/relationships/hyperlink" Target="https://podminky.urs.cz/item/CS_URS_2022_02/274313611" TargetMode="External" /><Relationship Id="rId22" Type="http://schemas.openxmlformats.org/officeDocument/2006/relationships/hyperlink" Target="https://podminky.urs.cz/item/CS_URS_2022_02/339921133" TargetMode="External" /><Relationship Id="rId23" Type="http://schemas.openxmlformats.org/officeDocument/2006/relationships/hyperlink" Target="https://podminky.urs.cz/item/CS_URS_2022_02/434121426" TargetMode="External" /><Relationship Id="rId24" Type="http://schemas.openxmlformats.org/officeDocument/2006/relationships/hyperlink" Target="https://podminky.urs.cz/item/CS_URS_2022_02/564851111" TargetMode="External" /><Relationship Id="rId25" Type="http://schemas.openxmlformats.org/officeDocument/2006/relationships/hyperlink" Target="https://podminky.urs.cz/item/CS_URS_2022_02/564861111" TargetMode="External" /><Relationship Id="rId26" Type="http://schemas.openxmlformats.org/officeDocument/2006/relationships/hyperlink" Target="https://podminky.urs.cz/item/CS_URS_2022_02/567122114" TargetMode="External" /><Relationship Id="rId27" Type="http://schemas.openxmlformats.org/officeDocument/2006/relationships/hyperlink" Target="https://podminky.urs.cz/item/CS_URS_2022_01/596211111" TargetMode="External" /><Relationship Id="rId28" Type="http://schemas.openxmlformats.org/officeDocument/2006/relationships/hyperlink" Target="https://podminky.urs.cz/item/CS_URS_2022_02/596211212" TargetMode="External" /><Relationship Id="rId29" Type="http://schemas.openxmlformats.org/officeDocument/2006/relationships/hyperlink" Target="https://podminky.urs.cz/item/CS_URS_2022_02/911121111" TargetMode="External" /><Relationship Id="rId30" Type="http://schemas.openxmlformats.org/officeDocument/2006/relationships/hyperlink" Target="https://podminky.urs.cz/item/CS_URS_2022_01/916231213" TargetMode="External" /><Relationship Id="rId31" Type="http://schemas.openxmlformats.org/officeDocument/2006/relationships/hyperlink" Target="https://podminky.urs.cz/item/CS_URS_2022_02/935112211" TargetMode="External" /><Relationship Id="rId32" Type="http://schemas.openxmlformats.org/officeDocument/2006/relationships/hyperlink" Target="https://podminky.urs.cz/item/CS_URS_2022_02/997221551" TargetMode="External" /><Relationship Id="rId33" Type="http://schemas.openxmlformats.org/officeDocument/2006/relationships/hyperlink" Target="https://podminky.urs.cz/item/CS_URS_2022_02/997221551" TargetMode="External" /><Relationship Id="rId34" Type="http://schemas.openxmlformats.org/officeDocument/2006/relationships/hyperlink" Target="https://podminky.urs.cz/item/CS_URS_2022_02/997221559" TargetMode="External" /><Relationship Id="rId35" Type="http://schemas.openxmlformats.org/officeDocument/2006/relationships/hyperlink" Target="https://podminky.urs.cz/item/CS_URS_2022_02/997221561" TargetMode="External" /><Relationship Id="rId36" Type="http://schemas.openxmlformats.org/officeDocument/2006/relationships/hyperlink" Target="https://podminky.urs.cz/item/CS_URS_2022_02/997221569" TargetMode="External" /><Relationship Id="rId37" Type="http://schemas.openxmlformats.org/officeDocument/2006/relationships/hyperlink" Target="https://podminky.urs.cz/item/CS_URS_2022_02/997221611" TargetMode="External" /><Relationship Id="rId38" Type="http://schemas.openxmlformats.org/officeDocument/2006/relationships/hyperlink" Target="https://podminky.urs.cz/item/CS_URS_2022_02/997221861" TargetMode="External" /><Relationship Id="rId39" Type="http://schemas.openxmlformats.org/officeDocument/2006/relationships/hyperlink" Target="https://podminky.urs.cz/item/CS_URS_2022_02/997221873" TargetMode="External" /><Relationship Id="rId40" Type="http://schemas.openxmlformats.org/officeDocument/2006/relationships/hyperlink" Target="https://podminky.urs.cz/item/CS_URS_2022_02/997221875" TargetMode="External" /><Relationship Id="rId41" Type="http://schemas.openxmlformats.org/officeDocument/2006/relationships/hyperlink" Target="https://podminky.urs.cz/item/CS_URS_2022_02/998223011" TargetMode="External" /><Relationship Id="rId4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1951112" TargetMode="External" /><Relationship Id="rId2" Type="http://schemas.openxmlformats.org/officeDocument/2006/relationships/hyperlink" Target="https://podminky.urs.cz/item/CS_URS_2021_02/211521111" TargetMode="External" /><Relationship Id="rId3" Type="http://schemas.openxmlformats.org/officeDocument/2006/relationships/hyperlink" Target="https://podminky.urs.cz/item/CS_URS_2022_02/212792211" TargetMode="External" /><Relationship Id="rId4" Type="http://schemas.openxmlformats.org/officeDocument/2006/relationships/hyperlink" Target="https://podminky.urs.cz/item/CS_URS_2022_02/212972112" TargetMode="External" /><Relationship Id="rId5" Type="http://schemas.openxmlformats.org/officeDocument/2006/relationships/hyperlink" Target="https://podminky.urs.cz/item/CS_URS_2022_02/226112113" TargetMode="External" /><Relationship Id="rId6" Type="http://schemas.openxmlformats.org/officeDocument/2006/relationships/hyperlink" Target="https://podminky.urs.cz/item/CS_URS_2022_02/227211113" TargetMode="External" /><Relationship Id="rId7" Type="http://schemas.openxmlformats.org/officeDocument/2006/relationships/hyperlink" Target="https://podminky.urs.cz/item/CS_URS_2022_02/231212112" TargetMode="External" /><Relationship Id="rId8" Type="http://schemas.openxmlformats.org/officeDocument/2006/relationships/hyperlink" Target="https://podminky.urs.cz/item/CS_URS_2022_02/231611114" TargetMode="External" /><Relationship Id="rId9" Type="http://schemas.openxmlformats.org/officeDocument/2006/relationships/hyperlink" Target="https://podminky.urs.cz/item/CS_URS_2022_02/274313911" TargetMode="External" /><Relationship Id="rId10" Type="http://schemas.openxmlformats.org/officeDocument/2006/relationships/hyperlink" Target="https://podminky.urs.cz/item/CS_URS_2022_02/311322611" TargetMode="External" /><Relationship Id="rId11" Type="http://schemas.openxmlformats.org/officeDocument/2006/relationships/hyperlink" Target="https://podminky.urs.cz/item/CS_URS_2022_02/311351121" TargetMode="External" /><Relationship Id="rId12" Type="http://schemas.openxmlformats.org/officeDocument/2006/relationships/hyperlink" Target="https://podminky.urs.cz/item/CS_URS_2022_02/311351122" TargetMode="External" /><Relationship Id="rId13" Type="http://schemas.openxmlformats.org/officeDocument/2006/relationships/hyperlink" Target="https://podminky.urs.cz/item/CS_URS_2022_02/311361821" TargetMode="External" /><Relationship Id="rId14" Type="http://schemas.openxmlformats.org/officeDocument/2006/relationships/hyperlink" Target="https://podminky.urs.cz/item/CS_URS_2022_02/311362021" TargetMode="External" /><Relationship Id="rId15" Type="http://schemas.openxmlformats.org/officeDocument/2006/relationships/hyperlink" Target="https://podminky.urs.cz/item/CS_URS_2022_02/451315124" TargetMode="External" /><Relationship Id="rId16" Type="http://schemas.openxmlformats.org/officeDocument/2006/relationships/hyperlink" Target="https://podminky.urs.cz/item/CS_URS_2022_02/895211131" TargetMode="External" /><Relationship Id="rId17" Type="http://schemas.openxmlformats.org/officeDocument/2006/relationships/hyperlink" Target="https://podminky.urs.cz/item/CS_URS_2022_02/953241111" TargetMode="External" /><Relationship Id="rId18" Type="http://schemas.openxmlformats.org/officeDocument/2006/relationships/hyperlink" Target="https://podminky.urs.cz/item/CS_URS_2022_02/953312125" TargetMode="External" /><Relationship Id="rId19" Type="http://schemas.openxmlformats.org/officeDocument/2006/relationships/hyperlink" Target="https://podminky.urs.cz/item/CS_URS_2022_02/998212111" TargetMode="External" /><Relationship Id="rId20" Type="http://schemas.openxmlformats.org/officeDocument/2006/relationships/hyperlink" Target="https://podminky.urs.cz/item/CS_URS_2022_02/711112002" TargetMode="External" /><Relationship Id="rId2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21151105" TargetMode="External" /><Relationship Id="rId3" Type="http://schemas.openxmlformats.org/officeDocument/2006/relationships/hyperlink" Target="https://podminky.urs.cz/item/CS_URS_2022_02/131251204" TargetMode="External" /><Relationship Id="rId4" Type="http://schemas.openxmlformats.org/officeDocument/2006/relationships/hyperlink" Target="https://podminky.urs.cz/item/CS_URS_2022_02/132254204" TargetMode="External" /><Relationship Id="rId5" Type="http://schemas.openxmlformats.org/officeDocument/2006/relationships/hyperlink" Target="https://podminky.urs.cz/item/CS_URS_2022_02/133212821" TargetMode="External" /><Relationship Id="rId6" Type="http://schemas.openxmlformats.org/officeDocument/2006/relationships/hyperlink" Target="https://podminky.urs.cz/item/CS_URS_2022_02/151201102" TargetMode="External" /><Relationship Id="rId7" Type="http://schemas.openxmlformats.org/officeDocument/2006/relationships/hyperlink" Target="https://podminky.urs.cz/item/CS_URS_2022_02/151201112" TargetMode="External" /><Relationship Id="rId8" Type="http://schemas.openxmlformats.org/officeDocument/2006/relationships/hyperlink" Target="https://podminky.urs.cz/item/CS_URS_2022_02/162251102" TargetMode="External" /><Relationship Id="rId9" Type="http://schemas.openxmlformats.org/officeDocument/2006/relationships/hyperlink" Target="https://podminky.urs.cz/item/CS_URS_2022_02/162751117" TargetMode="External" /><Relationship Id="rId10" Type="http://schemas.openxmlformats.org/officeDocument/2006/relationships/hyperlink" Target="https://podminky.urs.cz/item/CS_URS_2022_02/162751119" TargetMode="External" /><Relationship Id="rId11" Type="http://schemas.openxmlformats.org/officeDocument/2006/relationships/hyperlink" Target="https://podminky.urs.cz/item/CS_URS_2022_02/167151101" TargetMode="External" /><Relationship Id="rId12" Type="http://schemas.openxmlformats.org/officeDocument/2006/relationships/hyperlink" Target="https://podminky.urs.cz/item/CS_URS_2022_02/171201231" TargetMode="External" /><Relationship Id="rId13" Type="http://schemas.openxmlformats.org/officeDocument/2006/relationships/hyperlink" Target="https://podminky.urs.cz/item/CS_URS_2022_02/174151101" TargetMode="External" /><Relationship Id="rId14" Type="http://schemas.openxmlformats.org/officeDocument/2006/relationships/hyperlink" Target="https://podminky.urs.cz/item/CS_URS_2022_02/175151101" TargetMode="External" /><Relationship Id="rId15" Type="http://schemas.openxmlformats.org/officeDocument/2006/relationships/hyperlink" Target="https://podminky.urs.cz/item/CS_URS_2022_02/180405114" TargetMode="External" /><Relationship Id="rId16" Type="http://schemas.openxmlformats.org/officeDocument/2006/relationships/hyperlink" Target="https://podminky.urs.cz/item/CS_URS_2022_02/181351005" TargetMode="External" /><Relationship Id="rId17" Type="http://schemas.openxmlformats.org/officeDocument/2006/relationships/hyperlink" Target="https://podminky.urs.cz/item/CS_URS_2022_02/213141111" TargetMode="External" /><Relationship Id="rId18" Type="http://schemas.openxmlformats.org/officeDocument/2006/relationships/hyperlink" Target="https://podminky.urs.cz/item/CS_URS_2022_02/321311116" TargetMode="External" /><Relationship Id="rId19" Type="http://schemas.openxmlformats.org/officeDocument/2006/relationships/hyperlink" Target="https://podminky.urs.cz/item/CS_URS_2022_02/451572111" TargetMode="External" /><Relationship Id="rId20" Type="http://schemas.openxmlformats.org/officeDocument/2006/relationships/hyperlink" Target="https://podminky.urs.cz/item/CS_URS_2022_02/452111111" TargetMode="External" /><Relationship Id="rId21" Type="http://schemas.openxmlformats.org/officeDocument/2006/relationships/hyperlink" Target="https://podminky.urs.cz/item/CS_URS_2022_02/452112122" TargetMode="External" /><Relationship Id="rId22" Type="http://schemas.openxmlformats.org/officeDocument/2006/relationships/hyperlink" Target="https://podminky.urs.cz/item/CS_URS_2022_02/452311131" TargetMode="External" /><Relationship Id="rId23" Type="http://schemas.openxmlformats.org/officeDocument/2006/relationships/hyperlink" Target="https://podminky.urs.cz/item/CS_URS_2022_02/452311161" TargetMode="External" /><Relationship Id="rId24" Type="http://schemas.openxmlformats.org/officeDocument/2006/relationships/hyperlink" Target="https://podminky.urs.cz/item/CS_URS_2022_02/452312151" TargetMode="External" /><Relationship Id="rId25" Type="http://schemas.openxmlformats.org/officeDocument/2006/relationships/hyperlink" Target="https://podminky.urs.cz/item/CS_URS_2022_02/452351101" TargetMode="External" /><Relationship Id="rId26" Type="http://schemas.openxmlformats.org/officeDocument/2006/relationships/hyperlink" Target="https://podminky.urs.cz/item/CS_URS_2022_02/465513228" TargetMode="External" /><Relationship Id="rId27" Type="http://schemas.openxmlformats.org/officeDocument/2006/relationships/hyperlink" Target="https://podminky.urs.cz/item/CS_URS_2022_02/817374111" TargetMode="External" /><Relationship Id="rId28" Type="http://schemas.openxmlformats.org/officeDocument/2006/relationships/hyperlink" Target="https://podminky.urs.cz/item/CS_URS_2022_02/822372112" TargetMode="External" /><Relationship Id="rId29" Type="http://schemas.openxmlformats.org/officeDocument/2006/relationships/hyperlink" Target="https://podminky.urs.cz/item/CS_URS_2022_02/831312121" TargetMode="External" /><Relationship Id="rId30" Type="http://schemas.openxmlformats.org/officeDocument/2006/relationships/hyperlink" Target="https://podminky.urs.cz/item/CS_URS_2022_02/831352121" TargetMode="External" /><Relationship Id="rId31" Type="http://schemas.openxmlformats.org/officeDocument/2006/relationships/hyperlink" Target="https://podminky.urs.cz/item/CS_URS_2022_02/837311221" TargetMode="External" /><Relationship Id="rId32" Type="http://schemas.openxmlformats.org/officeDocument/2006/relationships/hyperlink" Target="https://podminky.urs.cz/item/CS_URS_2022_02/871360310" TargetMode="External" /><Relationship Id="rId33" Type="http://schemas.openxmlformats.org/officeDocument/2006/relationships/hyperlink" Target="https://podminky.urs.cz/item/CS_URS_2022_02/871370310" TargetMode="External" /><Relationship Id="rId34" Type="http://schemas.openxmlformats.org/officeDocument/2006/relationships/hyperlink" Target="https://podminky.urs.cz/item/CS_URS_2022_02/892372111" TargetMode="External" /><Relationship Id="rId35" Type="http://schemas.openxmlformats.org/officeDocument/2006/relationships/hyperlink" Target="https://podminky.urs.cz/item/CS_URS_2022_02/892381111" TargetMode="External" /><Relationship Id="rId36" Type="http://schemas.openxmlformats.org/officeDocument/2006/relationships/hyperlink" Target="https://podminky.urs.cz/item/CS_URS_2022_02/894201131" TargetMode="External" /><Relationship Id="rId37" Type="http://schemas.openxmlformats.org/officeDocument/2006/relationships/hyperlink" Target="https://podminky.urs.cz/item/CS_URS_2022_02/894201231" TargetMode="External" /><Relationship Id="rId38" Type="http://schemas.openxmlformats.org/officeDocument/2006/relationships/hyperlink" Target="https://podminky.urs.cz/item/CS_URS_2022_02/894411221" TargetMode="External" /><Relationship Id="rId39" Type="http://schemas.openxmlformats.org/officeDocument/2006/relationships/hyperlink" Target="https://podminky.urs.cz/item/CS_URS_2022_02/894812321" TargetMode="External" /><Relationship Id="rId40" Type="http://schemas.openxmlformats.org/officeDocument/2006/relationships/hyperlink" Target="https://podminky.urs.cz/item/CS_URS_2022_02/894812333" TargetMode="External" /><Relationship Id="rId41" Type="http://schemas.openxmlformats.org/officeDocument/2006/relationships/hyperlink" Target="https://podminky.urs.cz/item/CS_URS_2022_02/894812339" TargetMode="External" /><Relationship Id="rId42" Type="http://schemas.openxmlformats.org/officeDocument/2006/relationships/hyperlink" Target="https://podminky.urs.cz/item/CS_URS_2022_02/894812377" TargetMode="External" /><Relationship Id="rId43" Type="http://schemas.openxmlformats.org/officeDocument/2006/relationships/hyperlink" Target="https://podminky.urs.cz/item/CS_URS_2022_02/895941343" TargetMode="External" /><Relationship Id="rId44" Type="http://schemas.openxmlformats.org/officeDocument/2006/relationships/hyperlink" Target="https://podminky.urs.cz/item/CS_URS_2022_02/895941351" TargetMode="External" /><Relationship Id="rId45" Type="http://schemas.openxmlformats.org/officeDocument/2006/relationships/hyperlink" Target="https://podminky.urs.cz/item/CS_URS_2022_02/895941361" TargetMode="External" /><Relationship Id="rId46" Type="http://schemas.openxmlformats.org/officeDocument/2006/relationships/hyperlink" Target="https://podminky.urs.cz/item/CS_URS_2022_02/895941362" TargetMode="External" /><Relationship Id="rId47" Type="http://schemas.openxmlformats.org/officeDocument/2006/relationships/hyperlink" Target="https://podminky.urs.cz/item/CS_URS_2022_02/895941366" TargetMode="External" /><Relationship Id="rId48" Type="http://schemas.openxmlformats.org/officeDocument/2006/relationships/hyperlink" Target="https://podminky.urs.cz/item/CS_URS_2022_02/899103112" TargetMode="External" /><Relationship Id="rId49" Type="http://schemas.openxmlformats.org/officeDocument/2006/relationships/hyperlink" Target="https://podminky.urs.cz/item/CS_URS_2022_02/899104112" TargetMode="External" /><Relationship Id="rId50" Type="http://schemas.openxmlformats.org/officeDocument/2006/relationships/hyperlink" Target="https://podminky.urs.cz/item/CS_URS_2022_02/899204112" TargetMode="External" /><Relationship Id="rId51" Type="http://schemas.openxmlformats.org/officeDocument/2006/relationships/hyperlink" Target="https://podminky.urs.cz/item/CS_URS_2022_02/899501221" TargetMode="External" /><Relationship Id="rId52" Type="http://schemas.openxmlformats.org/officeDocument/2006/relationships/hyperlink" Target="https://podminky.urs.cz/item/CS_URS_2022_02/899623141" TargetMode="External" /><Relationship Id="rId53" Type="http://schemas.openxmlformats.org/officeDocument/2006/relationships/hyperlink" Target="https://podminky.urs.cz/item/CS_URS_2022_02/899643111" TargetMode="External" /><Relationship Id="rId54" Type="http://schemas.openxmlformats.org/officeDocument/2006/relationships/hyperlink" Target="https://podminky.urs.cz/item/CS_URS_2022_02/998274101" TargetMode="External" /><Relationship Id="rId5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54104" TargetMode="External" /><Relationship Id="rId2" Type="http://schemas.openxmlformats.org/officeDocument/2006/relationships/hyperlink" Target="https://podminky.urs.cz/item/CS_URS_2022_02/162351103" TargetMode="External" /><Relationship Id="rId3" Type="http://schemas.openxmlformats.org/officeDocument/2006/relationships/hyperlink" Target="https://podminky.urs.cz/item/CS_URS_2022_02/171251201" TargetMode="External" /><Relationship Id="rId4" Type="http://schemas.openxmlformats.org/officeDocument/2006/relationships/hyperlink" Target="https://podminky.urs.cz/item/CS_URS_2022_02/174151101" TargetMode="External" /><Relationship Id="rId5" Type="http://schemas.openxmlformats.org/officeDocument/2006/relationships/hyperlink" Target="https://podminky.urs.cz/item/CS_URS_2022_02/175151101" TargetMode="External" /><Relationship Id="rId6" Type="http://schemas.openxmlformats.org/officeDocument/2006/relationships/hyperlink" Target="https://podminky.urs.cz/item/CS_URS_2022_02/899722111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21" TargetMode="External" /><Relationship Id="rId2" Type="http://schemas.openxmlformats.org/officeDocument/2006/relationships/hyperlink" Target="https://podminky.urs.cz/item/CS_URS_2022_02/132212131" TargetMode="External" /><Relationship Id="rId3" Type="http://schemas.openxmlformats.org/officeDocument/2006/relationships/hyperlink" Target="https://podminky.urs.cz/item/CS_URS_2022_02/162351103" TargetMode="External" /><Relationship Id="rId4" Type="http://schemas.openxmlformats.org/officeDocument/2006/relationships/hyperlink" Target="https://podminky.urs.cz/item/CS_URS_2022_02/167151111" TargetMode="External" /><Relationship Id="rId5" Type="http://schemas.openxmlformats.org/officeDocument/2006/relationships/hyperlink" Target="https://podminky.urs.cz/item/CS_URS_2022_02/171251201" TargetMode="External" /><Relationship Id="rId6" Type="http://schemas.openxmlformats.org/officeDocument/2006/relationships/hyperlink" Target="https://podminky.urs.cz/item/CS_URS_2022_02/174151101" TargetMode="External" /><Relationship Id="rId7" Type="http://schemas.openxmlformats.org/officeDocument/2006/relationships/hyperlink" Target="https://podminky.urs.cz/item/CS_URS_2022_02/460661114" TargetMode="External" /><Relationship Id="rId8" Type="http://schemas.openxmlformats.org/officeDocument/2006/relationships/hyperlink" Target="https://podminky.urs.cz/item/CS_URS_2022_02/460671114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tabSelected="1" workbookViewId="0" topLeftCell="A1">
      <selection activeCell="AN55" sqref="AN55:AP55"/>
    </sheetView>
  </sheetViews>
  <sheetFormatPr defaultColWidth="9.140625" defaultRowHeight="12"/>
  <cols>
    <col min="1" max="1" width="8.57421875" style="0" customWidth="1"/>
    <col min="2" max="2" width="1.7109375" style="0" customWidth="1"/>
    <col min="3" max="3" width="4.28125" style="0" customWidth="1"/>
    <col min="4" max="33" width="2.7109375" style="0" customWidth="1"/>
    <col min="34" max="34" width="3.421875" style="0" customWidth="1"/>
    <col min="35" max="35" width="38.8515625" style="0" customWidth="1"/>
    <col min="36" max="37" width="2.57421875" style="0" customWidth="1"/>
    <col min="38" max="38" width="8.57421875" style="0" customWidth="1"/>
    <col min="39" max="39" width="3.421875" style="0" customWidth="1"/>
    <col min="40" max="40" width="13.7109375" style="0" customWidth="1"/>
    <col min="41" max="41" width="7.7109375" style="0" customWidth="1"/>
    <col min="42" max="42" width="4.28125" style="0" customWidth="1"/>
    <col min="43" max="43" width="16.00390625" style="0" customWidth="1"/>
    <col min="44" max="44" width="14.00390625" style="0" customWidth="1"/>
    <col min="45" max="47" width="26.421875" style="0" hidden="1" customWidth="1"/>
    <col min="48" max="49" width="22.28125" style="0" hidden="1" customWidth="1"/>
    <col min="50" max="51" width="25.57421875" style="0" hidden="1" customWidth="1"/>
    <col min="52" max="52" width="22.28125" style="0" hidden="1" customWidth="1"/>
    <col min="53" max="53" width="19.7109375" style="0" hidden="1" customWidth="1"/>
    <col min="54" max="54" width="25.57421875" style="0" hidden="1" customWidth="1"/>
    <col min="55" max="55" width="22.28125" style="0" hidden="1" customWidth="1"/>
    <col min="56" max="56" width="19.7109375" style="0" hidden="1" customWidth="1"/>
    <col min="57" max="57" width="68.28125" style="0" customWidth="1"/>
    <col min="71" max="91" width="9.1406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466" t="s">
        <v>14</v>
      </c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R5" s="21"/>
      <c r="BE5" s="463" t="s">
        <v>15</v>
      </c>
      <c r="BS5" s="18" t="s">
        <v>6</v>
      </c>
    </row>
    <row r="6" spans="2:71" ht="36.9" customHeight="1">
      <c r="B6" s="21"/>
      <c r="D6" s="27" t="s">
        <v>16</v>
      </c>
      <c r="K6" s="468" t="s">
        <v>17</v>
      </c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R6" s="21"/>
      <c r="BE6" s="464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464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464"/>
      <c r="BS8" s="18" t="s">
        <v>6</v>
      </c>
    </row>
    <row r="9" spans="2:71" ht="14.4" customHeight="1">
      <c r="B9" s="21"/>
      <c r="AR9" s="21"/>
      <c r="BE9" s="464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27</v>
      </c>
      <c r="AR10" s="21"/>
      <c r="BE10" s="464"/>
      <c r="BS10" s="18" t="s">
        <v>6</v>
      </c>
    </row>
    <row r="11" spans="2:71" ht="18.45" customHeight="1">
      <c r="B11" s="21"/>
      <c r="E11" s="26" t="s">
        <v>28</v>
      </c>
      <c r="AK11" s="28" t="s">
        <v>29</v>
      </c>
      <c r="AN11" s="26" t="s">
        <v>30</v>
      </c>
      <c r="AR11" s="21"/>
      <c r="BE11" s="464"/>
      <c r="BS11" s="18" t="s">
        <v>6</v>
      </c>
    </row>
    <row r="12" spans="2:71" ht="6.9" customHeight="1">
      <c r="B12" s="21"/>
      <c r="AR12" s="21"/>
      <c r="BE12" s="464"/>
      <c r="BS12" s="18" t="s">
        <v>6</v>
      </c>
    </row>
    <row r="13" spans="2:71" ht="12" customHeight="1">
      <c r="B13" s="21"/>
      <c r="D13" s="28" t="s">
        <v>31</v>
      </c>
      <c r="AK13" s="28" t="s">
        <v>26</v>
      </c>
      <c r="AN13" s="30" t="s">
        <v>32</v>
      </c>
      <c r="AR13" s="21"/>
      <c r="BE13" s="464"/>
      <c r="BS13" s="18" t="s">
        <v>6</v>
      </c>
    </row>
    <row r="14" spans="2:71" ht="13.2">
      <c r="B14" s="21"/>
      <c r="E14" s="469" t="s">
        <v>32</v>
      </c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28" t="s">
        <v>29</v>
      </c>
      <c r="AN14" s="30" t="s">
        <v>32</v>
      </c>
      <c r="AR14" s="21"/>
      <c r="BE14" s="464"/>
      <c r="BS14" s="18" t="s">
        <v>6</v>
      </c>
    </row>
    <row r="15" spans="2:71" ht="6.9" customHeight="1">
      <c r="B15" s="21"/>
      <c r="AR15" s="21"/>
      <c r="BE15" s="464"/>
      <c r="BS15" s="18" t="s">
        <v>4</v>
      </c>
    </row>
    <row r="16" spans="2:71" ht="12" customHeight="1">
      <c r="B16" s="21"/>
      <c r="D16" s="28" t="s">
        <v>33</v>
      </c>
      <c r="AK16" s="28" t="s">
        <v>26</v>
      </c>
      <c r="AN16" s="26" t="s">
        <v>34</v>
      </c>
      <c r="AR16" s="21"/>
      <c r="BE16" s="464"/>
      <c r="BS16" s="18" t="s">
        <v>4</v>
      </c>
    </row>
    <row r="17" spans="2:71" ht="18.45" customHeight="1">
      <c r="B17" s="21"/>
      <c r="E17" s="26" t="s">
        <v>35</v>
      </c>
      <c r="AK17" s="28" t="s">
        <v>29</v>
      </c>
      <c r="AN17" s="26" t="s">
        <v>36</v>
      </c>
      <c r="AR17" s="21"/>
      <c r="BE17" s="464"/>
      <c r="BS17" s="18" t="s">
        <v>37</v>
      </c>
    </row>
    <row r="18" spans="2:71" ht="6.9" customHeight="1">
      <c r="B18" s="21"/>
      <c r="AR18" s="21"/>
      <c r="BE18" s="464"/>
      <c r="BS18" s="18" t="s">
        <v>6</v>
      </c>
    </row>
    <row r="19" spans="2:71" ht="12" customHeight="1">
      <c r="B19" s="21"/>
      <c r="D19" s="28" t="s">
        <v>38</v>
      </c>
      <c r="AK19" s="28" t="s">
        <v>26</v>
      </c>
      <c r="AN19" s="26" t="s">
        <v>19</v>
      </c>
      <c r="AR19" s="21"/>
      <c r="BE19" s="464"/>
      <c r="BS19" s="18" t="s">
        <v>6</v>
      </c>
    </row>
    <row r="20" spans="2:71" ht="18.45" customHeight="1">
      <c r="B20" s="21"/>
      <c r="E20" s="26" t="s">
        <v>39</v>
      </c>
      <c r="AK20" s="28" t="s">
        <v>29</v>
      </c>
      <c r="AN20" s="26" t="s">
        <v>19</v>
      </c>
      <c r="AR20" s="21"/>
      <c r="BE20" s="464"/>
      <c r="BS20" s="18" t="s">
        <v>4</v>
      </c>
    </row>
    <row r="21" spans="2:57" ht="6.9" customHeight="1">
      <c r="B21" s="21"/>
      <c r="AR21" s="21"/>
      <c r="BE21" s="464"/>
    </row>
    <row r="22" spans="2:57" ht="12" customHeight="1">
      <c r="B22" s="21"/>
      <c r="D22" s="28" t="s">
        <v>40</v>
      </c>
      <c r="AR22" s="21"/>
      <c r="BE22" s="464"/>
    </row>
    <row r="23" spans="2:57" ht="44.4" customHeight="1">
      <c r="B23" s="21"/>
      <c r="E23" s="471" t="s">
        <v>41</v>
      </c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R23" s="21"/>
      <c r="BE23" s="464"/>
    </row>
    <row r="24" spans="2:57" ht="6.9" customHeight="1">
      <c r="B24" s="21"/>
      <c r="AR24" s="21"/>
      <c r="BE24" s="464"/>
    </row>
    <row r="25" spans="2:57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64"/>
    </row>
    <row r="26" spans="2:57" s="1" customFormat="1" ht="25.8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472">
        <f>ROUND(AG54,2)</f>
        <v>0</v>
      </c>
      <c r="AL26" s="473"/>
      <c r="AM26" s="473"/>
      <c r="AN26" s="473"/>
      <c r="AO26" s="473"/>
      <c r="AR26" s="33"/>
      <c r="BE26" s="464"/>
    </row>
    <row r="27" spans="2:57" s="1" customFormat="1" ht="6.9" customHeight="1">
      <c r="B27" s="33"/>
      <c r="AR27" s="33"/>
      <c r="BE27" s="464"/>
    </row>
    <row r="28" spans="2:57" s="1" customFormat="1" ht="13.2">
      <c r="B28" s="33"/>
      <c r="L28" s="474" t="s">
        <v>43</v>
      </c>
      <c r="M28" s="474"/>
      <c r="N28" s="474"/>
      <c r="O28" s="474"/>
      <c r="P28" s="474"/>
      <c r="W28" s="474" t="s">
        <v>44</v>
      </c>
      <c r="X28" s="474"/>
      <c r="Y28" s="474"/>
      <c r="Z28" s="474"/>
      <c r="AA28" s="474"/>
      <c r="AB28" s="474"/>
      <c r="AC28" s="474"/>
      <c r="AD28" s="474"/>
      <c r="AE28" s="474"/>
      <c r="AK28" s="474" t="s">
        <v>45</v>
      </c>
      <c r="AL28" s="474"/>
      <c r="AM28" s="474"/>
      <c r="AN28" s="474"/>
      <c r="AO28" s="474"/>
      <c r="AR28" s="33"/>
      <c r="BE28" s="464"/>
    </row>
    <row r="29" spans="2:57" s="2" customFormat="1" ht="14.4" customHeight="1">
      <c r="B29" s="37"/>
      <c r="D29" s="28" t="s">
        <v>46</v>
      </c>
      <c r="F29" s="28" t="s">
        <v>47</v>
      </c>
      <c r="L29" s="477">
        <v>0.21</v>
      </c>
      <c r="M29" s="476"/>
      <c r="N29" s="476"/>
      <c r="O29" s="476"/>
      <c r="P29" s="476"/>
      <c r="W29" s="475" t="e">
        <f>ROUND(AZ54,2)</f>
        <v>#REF!</v>
      </c>
      <c r="X29" s="476"/>
      <c r="Y29" s="476"/>
      <c r="Z29" s="476"/>
      <c r="AA29" s="476"/>
      <c r="AB29" s="476"/>
      <c r="AC29" s="476"/>
      <c r="AD29" s="476"/>
      <c r="AE29" s="476"/>
      <c r="AK29" s="475" t="e">
        <f>ROUND(AV54,2)</f>
        <v>#REF!</v>
      </c>
      <c r="AL29" s="476"/>
      <c r="AM29" s="476"/>
      <c r="AN29" s="476"/>
      <c r="AO29" s="476"/>
      <c r="AR29" s="37"/>
      <c r="BE29" s="465"/>
    </row>
    <row r="30" spans="2:57" s="2" customFormat="1" ht="14.4" customHeight="1">
      <c r="B30" s="37"/>
      <c r="F30" s="28" t="s">
        <v>48</v>
      </c>
      <c r="L30" s="477">
        <v>0.15</v>
      </c>
      <c r="M30" s="476"/>
      <c r="N30" s="476"/>
      <c r="O30" s="476"/>
      <c r="P30" s="476"/>
      <c r="W30" s="475" t="e">
        <f>ROUND(BA54,2)</f>
        <v>#REF!</v>
      </c>
      <c r="X30" s="476"/>
      <c r="Y30" s="476"/>
      <c r="Z30" s="476"/>
      <c r="AA30" s="476"/>
      <c r="AB30" s="476"/>
      <c r="AC30" s="476"/>
      <c r="AD30" s="476"/>
      <c r="AE30" s="476"/>
      <c r="AK30" s="475" t="e">
        <f>ROUND(AW54,2)</f>
        <v>#REF!</v>
      </c>
      <c r="AL30" s="476"/>
      <c r="AM30" s="476"/>
      <c r="AN30" s="476"/>
      <c r="AO30" s="476"/>
      <c r="AR30" s="37"/>
      <c r="BE30" s="465"/>
    </row>
    <row r="31" spans="2:57" s="2" customFormat="1" ht="14.4" customHeight="1" hidden="1">
      <c r="B31" s="37"/>
      <c r="F31" s="28" t="s">
        <v>49</v>
      </c>
      <c r="L31" s="477">
        <v>0.21</v>
      </c>
      <c r="M31" s="476"/>
      <c r="N31" s="476"/>
      <c r="O31" s="476"/>
      <c r="P31" s="476"/>
      <c r="W31" s="475" t="e">
        <f>ROUND(BB54,2)</f>
        <v>#REF!</v>
      </c>
      <c r="X31" s="476"/>
      <c r="Y31" s="476"/>
      <c r="Z31" s="476"/>
      <c r="AA31" s="476"/>
      <c r="AB31" s="476"/>
      <c r="AC31" s="476"/>
      <c r="AD31" s="476"/>
      <c r="AE31" s="476"/>
      <c r="AK31" s="475">
        <v>0</v>
      </c>
      <c r="AL31" s="476"/>
      <c r="AM31" s="476"/>
      <c r="AN31" s="476"/>
      <c r="AO31" s="476"/>
      <c r="AR31" s="37"/>
      <c r="BE31" s="465"/>
    </row>
    <row r="32" spans="2:57" s="2" customFormat="1" ht="14.4" customHeight="1" hidden="1">
      <c r="B32" s="37"/>
      <c r="F32" s="28" t="s">
        <v>50</v>
      </c>
      <c r="L32" s="477">
        <v>0.15</v>
      </c>
      <c r="M32" s="476"/>
      <c r="N32" s="476"/>
      <c r="O32" s="476"/>
      <c r="P32" s="476"/>
      <c r="W32" s="475" t="e">
        <f>ROUND(BC54,2)</f>
        <v>#REF!</v>
      </c>
      <c r="X32" s="476"/>
      <c r="Y32" s="476"/>
      <c r="Z32" s="476"/>
      <c r="AA32" s="476"/>
      <c r="AB32" s="476"/>
      <c r="AC32" s="476"/>
      <c r="AD32" s="476"/>
      <c r="AE32" s="476"/>
      <c r="AK32" s="475">
        <v>0</v>
      </c>
      <c r="AL32" s="476"/>
      <c r="AM32" s="476"/>
      <c r="AN32" s="476"/>
      <c r="AO32" s="476"/>
      <c r="AR32" s="37"/>
      <c r="BE32" s="465"/>
    </row>
    <row r="33" spans="2:44" s="2" customFormat="1" ht="14.4" customHeight="1" hidden="1">
      <c r="B33" s="37"/>
      <c r="F33" s="28" t="s">
        <v>51</v>
      </c>
      <c r="L33" s="477">
        <v>0</v>
      </c>
      <c r="M33" s="476"/>
      <c r="N33" s="476"/>
      <c r="O33" s="476"/>
      <c r="P33" s="476"/>
      <c r="W33" s="475" t="e">
        <f>ROUND(BD54,2)</f>
        <v>#REF!</v>
      </c>
      <c r="X33" s="476"/>
      <c r="Y33" s="476"/>
      <c r="Z33" s="476"/>
      <c r="AA33" s="476"/>
      <c r="AB33" s="476"/>
      <c r="AC33" s="476"/>
      <c r="AD33" s="476"/>
      <c r="AE33" s="476"/>
      <c r="AK33" s="475">
        <v>0</v>
      </c>
      <c r="AL33" s="476"/>
      <c r="AM33" s="476"/>
      <c r="AN33" s="476"/>
      <c r="AO33" s="476"/>
      <c r="AR33" s="37"/>
    </row>
    <row r="34" spans="2:44" s="1" customFormat="1" ht="6.9" customHeight="1">
      <c r="B34" s="33"/>
      <c r="AR34" s="33"/>
    </row>
    <row r="35" spans="2:44" s="1" customFormat="1" ht="25.8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481" t="s">
        <v>54</v>
      </c>
      <c r="Y35" s="479"/>
      <c r="Z35" s="479"/>
      <c r="AA35" s="479"/>
      <c r="AB35" s="479"/>
      <c r="AC35" s="40"/>
      <c r="AD35" s="40"/>
      <c r="AE35" s="40"/>
      <c r="AF35" s="40"/>
      <c r="AG35" s="40"/>
      <c r="AH35" s="40"/>
      <c r="AI35" s="40"/>
      <c r="AJ35" s="40"/>
      <c r="AK35" s="478" t="e">
        <f>SUM(AK26:AK33)</f>
        <v>#REF!</v>
      </c>
      <c r="AL35" s="479"/>
      <c r="AM35" s="479"/>
      <c r="AN35" s="479"/>
      <c r="AO35" s="480"/>
      <c r="AP35" s="38"/>
      <c r="AQ35" s="38"/>
      <c r="AR35" s="33"/>
    </row>
    <row r="36" spans="2:44" s="1" customFormat="1" ht="6.9" customHeight="1">
      <c r="B36" s="33"/>
      <c r="AR36" s="33"/>
    </row>
    <row r="37" spans="2:44" s="1" customFormat="1" ht="6.9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" customHeight="1">
      <c r="B42" s="33"/>
      <c r="C42" s="22" t="s">
        <v>55</v>
      </c>
      <c r="AR42" s="33"/>
    </row>
    <row r="43" spans="2:44" s="1" customFormat="1" ht="6.9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012022010</v>
      </c>
      <c r="AR44" s="46"/>
    </row>
    <row r="45" spans="2:44" s="4" customFormat="1" ht="36.9" customHeight="1">
      <c r="B45" s="47"/>
      <c r="C45" s="48" t="s">
        <v>16</v>
      </c>
      <c r="L45" s="489" t="str">
        <f>K6</f>
        <v>REGENERACE PANELOVÉHO SÍDLIŠTĚ PRIEVIDZSKÁ - 7.ETAPA</v>
      </c>
      <c r="M45" s="490"/>
      <c r="N45" s="490"/>
      <c r="O45" s="490"/>
      <c r="P45" s="490"/>
      <c r="Q45" s="490"/>
      <c r="R45" s="490"/>
      <c r="S45" s="490"/>
      <c r="T45" s="490"/>
      <c r="U45" s="490"/>
      <c r="V45" s="490"/>
      <c r="W45" s="490"/>
      <c r="X45" s="490"/>
      <c r="Y45" s="490"/>
      <c r="Z45" s="490"/>
      <c r="AA45" s="490"/>
      <c r="AB45" s="490"/>
      <c r="AC45" s="490"/>
      <c r="AD45" s="490"/>
      <c r="AE45" s="490"/>
      <c r="AF45" s="490"/>
      <c r="AG45" s="490"/>
      <c r="AH45" s="490"/>
      <c r="AI45" s="490"/>
      <c r="AJ45" s="490"/>
      <c r="AK45" s="490"/>
      <c r="AL45" s="490"/>
      <c r="AM45" s="490"/>
      <c r="AN45" s="490"/>
      <c r="AO45" s="490"/>
      <c r="AR45" s="47"/>
    </row>
    <row r="46" spans="2:44" s="1" customFormat="1" ht="6.9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Šumperk</v>
      </c>
      <c r="AI47" s="28" t="s">
        <v>23</v>
      </c>
      <c r="AM47" s="491" t="str">
        <f>IF(AN8="","",AN8)</f>
        <v>22. 10. 2022</v>
      </c>
      <c r="AN47" s="491"/>
      <c r="AR47" s="33"/>
    </row>
    <row r="48" spans="2:44" s="1" customFormat="1" ht="6.9" customHeight="1">
      <c r="B48" s="33"/>
      <c r="AR48" s="33"/>
    </row>
    <row r="49" spans="2:56" s="1" customFormat="1" ht="14.85" customHeight="1">
      <c r="B49" s="33"/>
      <c r="C49" s="28" t="s">
        <v>25</v>
      </c>
      <c r="L49" s="3" t="str">
        <f>IF(E11="","",E11)</f>
        <v>Město Šumperk</v>
      </c>
      <c r="AI49" s="28" t="s">
        <v>33</v>
      </c>
      <c r="AM49" s="492" t="str">
        <f>IF(E17="","",E17)</f>
        <v>Ateliér DPK, s.r.o.</v>
      </c>
      <c r="AN49" s="493"/>
      <c r="AO49" s="493"/>
      <c r="AP49" s="493"/>
      <c r="AR49" s="33"/>
      <c r="AS49" s="485" t="s">
        <v>56</v>
      </c>
      <c r="AT49" s="486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4.85" customHeight="1">
      <c r="B50" s="33"/>
      <c r="C50" s="28" t="s">
        <v>31</v>
      </c>
      <c r="L50" s="3" t="str">
        <f>IF(E14="Vyplň údaj","",E14)</f>
        <v/>
      </c>
      <c r="AI50" s="28" t="s">
        <v>38</v>
      </c>
      <c r="AM50" s="492" t="str">
        <f>IF(E20="","",E20)</f>
        <v xml:space="preserve"> </v>
      </c>
      <c r="AN50" s="493"/>
      <c r="AO50" s="493"/>
      <c r="AP50" s="493"/>
      <c r="AR50" s="33"/>
      <c r="AS50" s="487"/>
      <c r="AT50" s="488"/>
      <c r="BD50" s="54"/>
    </row>
    <row r="51" spans="2:56" s="1" customFormat="1" ht="10.8" customHeight="1">
      <c r="B51" s="33"/>
      <c r="AR51" s="33"/>
      <c r="AS51" s="487"/>
      <c r="AT51" s="488"/>
      <c r="BD51" s="54"/>
    </row>
    <row r="52" spans="2:56" s="1" customFormat="1" ht="29.25" customHeight="1">
      <c r="B52" s="33"/>
      <c r="C52" s="461" t="s">
        <v>57</v>
      </c>
      <c r="D52" s="460"/>
      <c r="E52" s="460"/>
      <c r="F52" s="460"/>
      <c r="G52" s="460"/>
      <c r="H52" s="55"/>
      <c r="I52" s="459" t="s">
        <v>58</v>
      </c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0"/>
      <c r="AD52" s="460"/>
      <c r="AE52" s="460"/>
      <c r="AF52" s="460"/>
      <c r="AG52" s="484" t="s">
        <v>59</v>
      </c>
      <c r="AH52" s="460"/>
      <c r="AI52" s="460"/>
      <c r="AJ52" s="460"/>
      <c r="AK52" s="460"/>
      <c r="AL52" s="460"/>
      <c r="AM52" s="460"/>
      <c r="AN52" s="459" t="s">
        <v>60</v>
      </c>
      <c r="AO52" s="460"/>
      <c r="AP52" s="460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1" customFormat="1" ht="10.8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462">
        <f>ROUND(SUM(AG55:AG65),2)</f>
        <v>0</v>
      </c>
      <c r="AH54" s="462"/>
      <c r="AI54" s="462"/>
      <c r="AJ54" s="462"/>
      <c r="AK54" s="462"/>
      <c r="AL54" s="462"/>
      <c r="AM54" s="462"/>
      <c r="AN54" s="494">
        <f>AN55+AN56+AN57+AN58+AN59+AN60+AN61+AN62+AN63+AN64+AN65</f>
        <v>0</v>
      </c>
      <c r="AO54" s="494"/>
      <c r="AP54" s="494"/>
      <c r="AQ54" s="65" t="s">
        <v>19</v>
      </c>
      <c r="AR54" s="61"/>
      <c r="AS54" s="66">
        <f>ROUND(SUM(AS55:AS65),2)</f>
        <v>0</v>
      </c>
      <c r="AT54" s="67" t="e">
        <f aca="true" t="shared" si="0" ref="AT54:AT65">ROUND(SUM(AV54:AW54),2)</f>
        <v>#REF!</v>
      </c>
      <c r="AU54" s="68" t="e">
        <f>ROUND(SUM(AU55:AU65),5)</f>
        <v>#REF!</v>
      </c>
      <c r="AV54" s="67" t="e">
        <f>ROUND(AZ54*L29,2)</f>
        <v>#REF!</v>
      </c>
      <c r="AW54" s="67" t="e">
        <f>ROUND(BA54*L30,2)</f>
        <v>#REF!</v>
      </c>
      <c r="AX54" s="67" t="e">
        <f>ROUND(BB54*L29,2)</f>
        <v>#REF!</v>
      </c>
      <c r="AY54" s="67" t="e">
        <f>ROUND(BC54*L30,2)</f>
        <v>#REF!</v>
      </c>
      <c r="AZ54" s="67" t="e">
        <f>ROUND(SUM(AZ55:AZ65),2)</f>
        <v>#REF!</v>
      </c>
      <c r="BA54" s="67" t="e">
        <f>ROUND(SUM(BA55:BA65),2)</f>
        <v>#REF!</v>
      </c>
      <c r="BB54" s="67" t="e">
        <f>ROUND(SUM(BB55:BB65),2)</f>
        <v>#REF!</v>
      </c>
      <c r="BC54" s="67" t="e">
        <f>ROUND(SUM(BC55:BC65),2)</f>
        <v>#REF!</v>
      </c>
      <c r="BD54" s="69" t="e">
        <f>ROUND(SUM(BD55:BD65),2)</f>
        <v>#REF!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1:91" s="6" customFormat="1" ht="25.65" customHeight="1">
      <c r="A55" s="72" t="s">
        <v>80</v>
      </c>
      <c r="B55" s="73"/>
      <c r="C55" s="74"/>
      <c r="D55" s="458" t="s">
        <v>81</v>
      </c>
      <c r="E55" s="458"/>
      <c r="F55" s="458"/>
      <c r="G55" s="458"/>
      <c r="H55" s="458"/>
      <c r="I55" s="75"/>
      <c r="J55" s="458" t="s">
        <v>82</v>
      </c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82">
        <f>'SO 001 - Vedlejší rozpočt...'!J30</f>
        <v>0</v>
      </c>
      <c r="AH55" s="483"/>
      <c r="AI55" s="483"/>
      <c r="AJ55" s="483"/>
      <c r="AK55" s="483"/>
      <c r="AL55" s="483"/>
      <c r="AM55" s="483"/>
      <c r="AN55" s="482">
        <f aca="true" t="shared" si="1" ref="AN55:AN65">SUM(AG55,AT55)</f>
        <v>0</v>
      </c>
      <c r="AO55" s="483"/>
      <c r="AP55" s="483"/>
      <c r="AQ55" s="76" t="s">
        <v>83</v>
      </c>
      <c r="AR55" s="73"/>
      <c r="AS55" s="77">
        <v>0</v>
      </c>
      <c r="AT55" s="78">
        <f t="shared" si="0"/>
        <v>0</v>
      </c>
      <c r="AU55" s="79">
        <f>'SO 001 - Vedlejší rozpočt...'!P84</f>
        <v>0</v>
      </c>
      <c r="AV55" s="78">
        <f>'SO 001 - Vedlejší rozpočt...'!J33</f>
        <v>0</v>
      </c>
      <c r="AW55" s="78">
        <f>'SO 001 - Vedlejší rozpočt...'!J34</f>
        <v>0</v>
      </c>
      <c r="AX55" s="78">
        <f>'SO 001 - Vedlejší rozpočt...'!J35</f>
        <v>0</v>
      </c>
      <c r="AY55" s="78">
        <f>'SO 001 - Vedlejší rozpočt...'!J36</f>
        <v>0</v>
      </c>
      <c r="AZ55" s="78">
        <f>'SO 001 - Vedlejší rozpočt...'!F33</f>
        <v>0</v>
      </c>
      <c r="BA55" s="78">
        <f>'SO 001 - Vedlejší rozpočt...'!F34</f>
        <v>0</v>
      </c>
      <c r="BB55" s="78">
        <f>'SO 001 - Vedlejší rozpočt...'!F35</f>
        <v>0</v>
      </c>
      <c r="BC55" s="78">
        <f>'SO 001 - Vedlejší rozpočt...'!F36</f>
        <v>0</v>
      </c>
      <c r="BD55" s="80">
        <f>'SO 001 - Vedlejší rozpočt...'!F37</f>
        <v>0</v>
      </c>
      <c r="BT55" s="81" t="s">
        <v>84</v>
      </c>
      <c r="BV55" s="81" t="s">
        <v>78</v>
      </c>
      <c r="BW55" s="81" t="s">
        <v>85</v>
      </c>
      <c r="BX55" s="81" t="s">
        <v>5</v>
      </c>
      <c r="CL55" s="81" t="s">
        <v>19</v>
      </c>
      <c r="CM55" s="81" t="s">
        <v>86</v>
      </c>
    </row>
    <row r="56" spans="1:91" s="6" customFormat="1" ht="25.65" customHeight="1">
      <c r="A56" s="72" t="s">
        <v>80</v>
      </c>
      <c r="B56" s="73"/>
      <c r="C56" s="74"/>
      <c r="D56" s="458" t="s">
        <v>87</v>
      </c>
      <c r="E56" s="458"/>
      <c r="F56" s="458"/>
      <c r="G56" s="458"/>
      <c r="H56" s="458"/>
      <c r="I56" s="75"/>
      <c r="J56" s="458" t="s">
        <v>88</v>
      </c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82">
        <f>'SO 100 - Komunikace a par...'!J30</f>
        <v>0</v>
      </c>
      <c r="AH56" s="483"/>
      <c r="AI56" s="483"/>
      <c r="AJ56" s="483"/>
      <c r="AK56" s="483"/>
      <c r="AL56" s="483"/>
      <c r="AM56" s="483"/>
      <c r="AN56" s="482">
        <f t="shared" si="1"/>
        <v>0</v>
      </c>
      <c r="AO56" s="483"/>
      <c r="AP56" s="483"/>
      <c r="AQ56" s="76" t="s">
        <v>83</v>
      </c>
      <c r="AR56" s="73"/>
      <c r="AS56" s="77">
        <v>0</v>
      </c>
      <c r="AT56" s="78">
        <f t="shared" si="0"/>
        <v>0</v>
      </c>
      <c r="AU56" s="79">
        <f>'SO 100 - Komunikace a par...'!P90</f>
        <v>0</v>
      </c>
      <c r="AV56" s="78">
        <f>'SO 100 - Komunikace a par...'!J33</f>
        <v>0</v>
      </c>
      <c r="AW56" s="78">
        <f>'SO 100 - Komunikace a par...'!J34</f>
        <v>0</v>
      </c>
      <c r="AX56" s="78">
        <f>'SO 100 - Komunikace a par...'!J35</f>
        <v>0</v>
      </c>
      <c r="AY56" s="78">
        <f>'SO 100 - Komunikace a par...'!J36</f>
        <v>0</v>
      </c>
      <c r="AZ56" s="78">
        <f>'SO 100 - Komunikace a par...'!F33</f>
        <v>0</v>
      </c>
      <c r="BA56" s="78">
        <f>'SO 100 - Komunikace a par...'!F34</f>
        <v>0</v>
      </c>
      <c r="BB56" s="78">
        <f>'SO 100 - Komunikace a par...'!F35</f>
        <v>0</v>
      </c>
      <c r="BC56" s="78">
        <f>'SO 100 - Komunikace a par...'!F36</f>
        <v>0</v>
      </c>
      <c r="BD56" s="80">
        <f>'SO 100 - Komunikace a par...'!F37</f>
        <v>0</v>
      </c>
      <c r="BT56" s="81" t="s">
        <v>84</v>
      </c>
      <c r="BV56" s="81" t="s">
        <v>78</v>
      </c>
      <c r="BW56" s="81" t="s">
        <v>89</v>
      </c>
      <c r="BX56" s="81" t="s">
        <v>5</v>
      </c>
      <c r="CL56" s="81" t="s">
        <v>19</v>
      </c>
      <c r="CM56" s="81" t="s">
        <v>86</v>
      </c>
    </row>
    <row r="57" spans="1:91" s="6" customFormat="1" ht="25.65" customHeight="1">
      <c r="A57" s="72" t="s">
        <v>80</v>
      </c>
      <c r="B57" s="73"/>
      <c r="C57" s="74"/>
      <c r="D57" s="458" t="s">
        <v>90</v>
      </c>
      <c r="E57" s="458"/>
      <c r="F57" s="458"/>
      <c r="G57" s="458"/>
      <c r="H57" s="458"/>
      <c r="I57" s="75"/>
      <c r="J57" s="458" t="s">
        <v>91</v>
      </c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82">
        <f>'SO 110 - Chodníky'!J30</f>
        <v>0</v>
      </c>
      <c r="AH57" s="483"/>
      <c r="AI57" s="483"/>
      <c r="AJ57" s="483"/>
      <c r="AK57" s="483"/>
      <c r="AL57" s="483"/>
      <c r="AM57" s="483"/>
      <c r="AN57" s="482">
        <f t="shared" si="1"/>
        <v>0</v>
      </c>
      <c r="AO57" s="483"/>
      <c r="AP57" s="483"/>
      <c r="AQ57" s="76" t="s">
        <v>83</v>
      </c>
      <c r="AR57" s="73"/>
      <c r="AS57" s="77">
        <v>0</v>
      </c>
      <c r="AT57" s="78">
        <f t="shared" si="0"/>
        <v>0</v>
      </c>
      <c r="AU57" s="79">
        <f>'SO 110 - Chodníky'!P88</f>
        <v>0</v>
      </c>
      <c r="AV57" s="78">
        <f>'SO 110 - Chodníky'!J33</f>
        <v>0</v>
      </c>
      <c r="AW57" s="78">
        <f>'SO 110 - Chodníky'!J34</f>
        <v>0</v>
      </c>
      <c r="AX57" s="78">
        <f>'SO 110 - Chodníky'!J35</f>
        <v>0</v>
      </c>
      <c r="AY57" s="78">
        <f>'SO 110 - Chodníky'!J36</f>
        <v>0</v>
      </c>
      <c r="AZ57" s="78">
        <f>'SO 110 - Chodníky'!F33</f>
        <v>0</v>
      </c>
      <c r="BA57" s="78">
        <f>'SO 110 - Chodníky'!F34</f>
        <v>0</v>
      </c>
      <c r="BB57" s="78">
        <f>'SO 110 - Chodníky'!F35</f>
        <v>0</v>
      </c>
      <c r="BC57" s="78">
        <f>'SO 110 - Chodníky'!F36</f>
        <v>0</v>
      </c>
      <c r="BD57" s="80">
        <f>'SO 110 - Chodníky'!F37</f>
        <v>0</v>
      </c>
      <c r="BT57" s="81" t="s">
        <v>84</v>
      </c>
      <c r="BV57" s="81" t="s">
        <v>78</v>
      </c>
      <c r="BW57" s="81" t="s">
        <v>92</v>
      </c>
      <c r="BX57" s="81" t="s">
        <v>5</v>
      </c>
      <c r="CL57" s="81" t="s">
        <v>19</v>
      </c>
      <c r="CM57" s="81" t="s">
        <v>86</v>
      </c>
    </row>
    <row r="58" spans="1:91" s="6" customFormat="1" ht="25.65" customHeight="1">
      <c r="A58" s="72" t="s">
        <v>80</v>
      </c>
      <c r="B58" s="73"/>
      <c r="C58" s="74"/>
      <c r="D58" s="458" t="s">
        <v>93</v>
      </c>
      <c r="E58" s="458"/>
      <c r="F58" s="458"/>
      <c r="G58" s="458"/>
      <c r="H58" s="458"/>
      <c r="I58" s="75"/>
      <c r="J58" s="458" t="s">
        <v>94</v>
      </c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82">
        <f>'SO 200 - Opěrná stěna'!J30</f>
        <v>0</v>
      </c>
      <c r="AH58" s="483"/>
      <c r="AI58" s="483"/>
      <c r="AJ58" s="483"/>
      <c r="AK58" s="483"/>
      <c r="AL58" s="483"/>
      <c r="AM58" s="483"/>
      <c r="AN58" s="482">
        <f t="shared" si="1"/>
        <v>0</v>
      </c>
      <c r="AO58" s="483"/>
      <c r="AP58" s="483"/>
      <c r="AQ58" s="76" t="s">
        <v>83</v>
      </c>
      <c r="AR58" s="73"/>
      <c r="AS58" s="77">
        <v>0</v>
      </c>
      <c r="AT58" s="78">
        <f t="shared" si="0"/>
        <v>0</v>
      </c>
      <c r="AU58" s="79">
        <f>'SO 200 - Opěrná stěna'!P89</f>
        <v>0</v>
      </c>
      <c r="AV58" s="78">
        <f>'SO 200 - Opěrná stěna'!J33</f>
        <v>0</v>
      </c>
      <c r="AW58" s="78">
        <f>'SO 200 - Opěrná stěna'!J34</f>
        <v>0</v>
      </c>
      <c r="AX58" s="78">
        <f>'SO 200 - Opěrná stěna'!J35</f>
        <v>0</v>
      </c>
      <c r="AY58" s="78">
        <f>'SO 200 - Opěrná stěna'!J36</f>
        <v>0</v>
      </c>
      <c r="AZ58" s="78">
        <f>'SO 200 - Opěrná stěna'!F33</f>
        <v>0</v>
      </c>
      <c r="BA58" s="78">
        <f>'SO 200 - Opěrná stěna'!F34</f>
        <v>0</v>
      </c>
      <c r="BB58" s="78">
        <f>'SO 200 - Opěrná stěna'!F35</f>
        <v>0</v>
      </c>
      <c r="BC58" s="78">
        <f>'SO 200 - Opěrná stěna'!F36</f>
        <v>0</v>
      </c>
      <c r="BD58" s="80">
        <f>'SO 200 - Opěrná stěna'!F37</f>
        <v>0</v>
      </c>
      <c r="BT58" s="81" t="s">
        <v>84</v>
      </c>
      <c r="BV58" s="81" t="s">
        <v>78</v>
      </c>
      <c r="BW58" s="81" t="s">
        <v>95</v>
      </c>
      <c r="BX58" s="81" t="s">
        <v>5</v>
      </c>
      <c r="CL58" s="81" t="s">
        <v>19</v>
      </c>
      <c r="CM58" s="81" t="s">
        <v>86</v>
      </c>
    </row>
    <row r="59" spans="1:91" s="6" customFormat="1" ht="25.65" customHeight="1">
      <c r="A59" s="72" t="s">
        <v>80</v>
      </c>
      <c r="B59" s="73"/>
      <c r="C59" s="74"/>
      <c r="D59" s="458" t="s">
        <v>96</v>
      </c>
      <c r="E59" s="458"/>
      <c r="F59" s="458"/>
      <c r="G59" s="458"/>
      <c r="H59" s="458"/>
      <c r="I59" s="75"/>
      <c r="J59" s="458" t="s">
        <v>97</v>
      </c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82">
        <f>'SO 300 - Kanalizace dešťová'!J30</f>
        <v>0</v>
      </c>
      <c r="AH59" s="483"/>
      <c r="AI59" s="483"/>
      <c r="AJ59" s="483"/>
      <c r="AK59" s="483"/>
      <c r="AL59" s="483"/>
      <c r="AM59" s="483"/>
      <c r="AN59" s="482">
        <f t="shared" si="1"/>
        <v>0</v>
      </c>
      <c r="AO59" s="483"/>
      <c r="AP59" s="483"/>
      <c r="AQ59" s="76" t="s">
        <v>83</v>
      </c>
      <c r="AR59" s="73"/>
      <c r="AS59" s="77">
        <v>0</v>
      </c>
      <c r="AT59" s="78">
        <f t="shared" si="0"/>
        <v>0</v>
      </c>
      <c r="AU59" s="79">
        <f>'SO 300 - Kanalizace dešťová'!P86</f>
        <v>0</v>
      </c>
      <c r="AV59" s="78">
        <f>'SO 300 - Kanalizace dešťová'!J33</f>
        <v>0</v>
      </c>
      <c r="AW59" s="78">
        <f>'SO 300 - Kanalizace dešťová'!J34</f>
        <v>0</v>
      </c>
      <c r="AX59" s="78">
        <f>'SO 300 - Kanalizace dešťová'!J35</f>
        <v>0</v>
      </c>
      <c r="AY59" s="78">
        <f>'SO 300 - Kanalizace dešťová'!J36</f>
        <v>0</v>
      </c>
      <c r="AZ59" s="78">
        <f>'SO 300 - Kanalizace dešťová'!F33</f>
        <v>0</v>
      </c>
      <c r="BA59" s="78">
        <f>'SO 300 - Kanalizace dešťová'!F34</f>
        <v>0</v>
      </c>
      <c r="BB59" s="78">
        <f>'SO 300 - Kanalizace dešťová'!F35</f>
        <v>0</v>
      </c>
      <c r="BC59" s="78">
        <f>'SO 300 - Kanalizace dešťová'!F36</f>
        <v>0</v>
      </c>
      <c r="BD59" s="80">
        <f>'SO 300 - Kanalizace dešťová'!F37</f>
        <v>0</v>
      </c>
      <c r="BT59" s="81" t="s">
        <v>84</v>
      </c>
      <c r="BV59" s="81" t="s">
        <v>78</v>
      </c>
      <c r="BW59" s="81" t="s">
        <v>98</v>
      </c>
      <c r="BX59" s="81" t="s">
        <v>5</v>
      </c>
      <c r="CL59" s="81" t="s">
        <v>19</v>
      </c>
      <c r="CM59" s="81" t="s">
        <v>86</v>
      </c>
    </row>
    <row r="60" spans="1:91" s="6" customFormat="1" ht="25.65" customHeight="1">
      <c r="A60" s="72" t="s">
        <v>80</v>
      </c>
      <c r="B60" s="73"/>
      <c r="C60" s="74"/>
      <c r="D60" s="458" t="s">
        <v>99</v>
      </c>
      <c r="E60" s="458"/>
      <c r="F60" s="458"/>
      <c r="G60" s="458"/>
      <c r="H60" s="458"/>
      <c r="I60" s="75"/>
      <c r="J60" s="458" t="s">
        <v>100</v>
      </c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82">
        <f>'SO 400.3 - Přeložka sdělo...'!J30</f>
        <v>0</v>
      </c>
      <c r="AH60" s="483"/>
      <c r="AI60" s="483"/>
      <c r="AJ60" s="483"/>
      <c r="AK60" s="483"/>
      <c r="AL60" s="483"/>
      <c r="AM60" s="483"/>
      <c r="AN60" s="482">
        <f t="shared" si="1"/>
        <v>0</v>
      </c>
      <c r="AO60" s="483"/>
      <c r="AP60" s="483"/>
      <c r="AQ60" s="76" t="s">
        <v>83</v>
      </c>
      <c r="AR60" s="73"/>
      <c r="AS60" s="77">
        <v>0</v>
      </c>
      <c r="AT60" s="78">
        <f t="shared" si="0"/>
        <v>0</v>
      </c>
      <c r="AU60" s="79">
        <f>'SO 400.3 - Přeložka sdělo...'!P82</f>
        <v>0</v>
      </c>
      <c r="AV60" s="78">
        <f>'SO 400.3 - Přeložka sdělo...'!J33</f>
        <v>0</v>
      </c>
      <c r="AW60" s="78">
        <f>'SO 400.3 - Přeložka sdělo...'!J34</f>
        <v>0</v>
      </c>
      <c r="AX60" s="78">
        <f>'SO 400.3 - Přeložka sdělo...'!J35</f>
        <v>0</v>
      </c>
      <c r="AY60" s="78">
        <f>'SO 400.3 - Přeložka sdělo...'!J36</f>
        <v>0</v>
      </c>
      <c r="AZ60" s="78">
        <f>'SO 400.3 - Přeložka sdělo...'!F33</f>
        <v>0</v>
      </c>
      <c r="BA60" s="78">
        <f>'SO 400.3 - Přeložka sdělo...'!F34</f>
        <v>0</v>
      </c>
      <c r="BB60" s="78">
        <f>'SO 400.3 - Přeložka sdělo...'!F35</f>
        <v>0</v>
      </c>
      <c r="BC60" s="78">
        <f>'SO 400.3 - Přeložka sdělo...'!F36</f>
        <v>0</v>
      </c>
      <c r="BD60" s="80">
        <f>'SO 400.3 - Přeložka sdělo...'!F37</f>
        <v>0</v>
      </c>
      <c r="BT60" s="81" t="s">
        <v>84</v>
      </c>
      <c r="BV60" s="81" t="s">
        <v>78</v>
      </c>
      <c r="BW60" s="81" t="s">
        <v>101</v>
      </c>
      <c r="BX60" s="81" t="s">
        <v>5</v>
      </c>
      <c r="CL60" s="81" t="s">
        <v>19</v>
      </c>
      <c r="CM60" s="81" t="s">
        <v>86</v>
      </c>
    </row>
    <row r="61" spans="1:91" s="6" customFormat="1" ht="25.65" customHeight="1">
      <c r="A61" s="72" t="s">
        <v>80</v>
      </c>
      <c r="B61" s="73"/>
      <c r="C61" s="74"/>
      <c r="D61" s="458" t="s">
        <v>102</v>
      </c>
      <c r="E61" s="458"/>
      <c r="F61" s="458"/>
      <c r="G61" s="458"/>
      <c r="H61" s="458"/>
      <c r="I61" s="75"/>
      <c r="J61" s="458" t="s">
        <v>103</v>
      </c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82">
        <f>'SO 400.4 - Přeložka sdělo...'!J30</f>
        <v>0</v>
      </c>
      <c r="AH61" s="483"/>
      <c r="AI61" s="483"/>
      <c r="AJ61" s="483"/>
      <c r="AK61" s="483"/>
      <c r="AL61" s="483"/>
      <c r="AM61" s="483"/>
      <c r="AN61" s="482">
        <f t="shared" si="1"/>
        <v>0</v>
      </c>
      <c r="AO61" s="483"/>
      <c r="AP61" s="483"/>
      <c r="AQ61" s="76" t="s">
        <v>83</v>
      </c>
      <c r="AR61" s="73"/>
      <c r="AS61" s="77">
        <v>0</v>
      </c>
      <c r="AT61" s="78">
        <f t="shared" si="0"/>
        <v>0</v>
      </c>
      <c r="AU61" s="79">
        <f>'SO 400.4 - Přeložka sdělo...'!P83</f>
        <v>0</v>
      </c>
      <c r="AV61" s="78">
        <f>'SO 400.4 - Přeložka sdělo...'!J33</f>
        <v>0</v>
      </c>
      <c r="AW61" s="78">
        <f>'SO 400.4 - Přeložka sdělo...'!J34</f>
        <v>0</v>
      </c>
      <c r="AX61" s="78">
        <f>'SO 400.4 - Přeložka sdělo...'!J35</f>
        <v>0</v>
      </c>
      <c r="AY61" s="78">
        <f>'SO 400.4 - Přeložka sdělo...'!J36</f>
        <v>0</v>
      </c>
      <c r="AZ61" s="78">
        <f>'SO 400.4 - Přeložka sdělo...'!F33</f>
        <v>0</v>
      </c>
      <c r="BA61" s="78">
        <f>'SO 400.4 - Přeložka sdělo...'!F34</f>
        <v>0</v>
      </c>
      <c r="BB61" s="78">
        <f>'SO 400.4 - Přeložka sdělo...'!F35</f>
        <v>0</v>
      </c>
      <c r="BC61" s="78">
        <f>'SO 400.4 - Přeložka sdělo...'!F36</f>
        <v>0</v>
      </c>
      <c r="BD61" s="80">
        <f>'SO 400.4 - Přeložka sdělo...'!F37</f>
        <v>0</v>
      </c>
      <c r="BT61" s="81" t="s">
        <v>84</v>
      </c>
      <c r="BV61" s="81" t="s">
        <v>78</v>
      </c>
      <c r="BW61" s="81" t="s">
        <v>104</v>
      </c>
      <c r="BX61" s="81" t="s">
        <v>5</v>
      </c>
      <c r="CL61" s="81" t="s">
        <v>19</v>
      </c>
      <c r="CM61" s="81" t="s">
        <v>86</v>
      </c>
    </row>
    <row r="62" spans="1:91" s="6" customFormat="1" ht="25.65" customHeight="1">
      <c r="A62" s="72" t="s">
        <v>80</v>
      </c>
      <c r="B62" s="73"/>
      <c r="C62" s="74"/>
      <c r="D62" s="458" t="s">
        <v>105</v>
      </c>
      <c r="E62" s="458"/>
      <c r="F62" s="458"/>
      <c r="G62" s="458"/>
      <c r="H62" s="458"/>
      <c r="I62" s="75"/>
      <c r="J62" s="458" t="s">
        <v>106</v>
      </c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82">
        <f>'SO 600 VO - Kryci list'!I28</f>
        <v>0</v>
      </c>
      <c r="AH62" s="483"/>
      <c r="AI62" s="483"/>
      <c r="AJ62" s="483"/>
      <c r="AK62" s="483"/>
      <c r="AL62" s="483"/>
      <c r="AM62" s="483"/>
      <c r="AN62" s="482">
        <f>'SO 600 VO - Kryci list'!I29</f>
        <v>0</v>
      </c>
      <c r="AO62" s="483"/>
      <c r="AP62" s="483"/>
      <c r="AQ62" s="76" t="s">
        <v>83</v>
      </c>
      <c r="AR62" s="73"/>
      <c r="AS62" s="77">
        <v>0</v>
      </c>
      <c r="AT62" s="78" t="e">
        <f t="shared" si="0"/>
        <v>#REF!</v>
      </c>
      <c r="AU62" s="79" t="e">
        <f>#REF!</f>
        <v>#REF!</v>
      </c>
      <c r="AV62" s="78" t="e">
        <f>#REF!</f>
        <v>#REF!</v>
      </c>
      <c r="AW62" s="78" t="e">
        <f>#REF!</f>
        <v>#REF!</v>
      </c>
      <c r="AX62" s="78" t="e">
        <f>#REF!</f>
        <v>#REF!</v>
      </c>
      <c r="AY62" s="78" t="e">
        <f>#REF!</f>
        <v>#REF!</v>
      </c>
      <c r="AZ62" s="78" t="e">
        <f>#REF!</f>
        <v>#REF!</v>
      </c>
      <c r="BA62" s="78" t="e">
        <f>#REF!</f>
        <v>#REF!</v>
      </c>
      <c r="BB62" s="78" t="e">
        <f>#REF!</f>
        <v>#REF!</v>
      </c>
      <c r="BC62" s="78" t="e">
        <f>#REF!</f>
        <v>#REF!</v>
      </c>
      <c r="BD62" s="80" t="e">
        <f>#REF!</f>
        <v>#REF!</v>
      </c>
      <c r="BT62" s="81" t="s">
        <v>84</v>
      </c>
      <c r="BV62" s="81" t="s">
        <v>78</v>
      </c>
      <c r="BW62" s="81" t="s">
        <v>107</v>
      </c>
      <c r="BX62" s="81" t="s">
        <v>5</v>
      </c>
      <c r="CL62" s="81" t="s">
        <v>19</v>
      </c>
      <c r="CM62" s="81" t="s">
        <v>86</v>
      </c>
    </row>
    <row r="63" spans="1:91" s="6" customFormat="1" ht="25.65" customHeight="1">
      <c r="A63" s="72" t="s">
        <v>80</v>
      </c>
      <c r="B63" s="73"/>
      <c r="C63" s="74"/>
      <c r="D63" s="458" t="s">
        <v>108</v>
      </c>
      <c r="E63" s="458"/>
      <c r="F63" s="458"/>
      <c r="G63" s="458"/>
      <c r="H63" s="458"/>
      <c r="I63" s="75"/>
      <c r="J63" s="458" t="s">
        <v>109</v>
      </c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82">
        <f>'SO 800 - Sadové úpravy'!F10</f>
        <v>0</v>
      </c>
      <c r="AH63" s="483"/>
      <c r="AI63" s="483"/>
      <c r="AJ63" s="483"/>
      <c r="AK63" s="483"/>
      <c r="AL63" s="483"/>
      <c r="AM63" s="483"/>
      <c r="AN63" s="482">
        <f>'SO 800 - Sadové úpravy'!G12</f>
        <v>0</v>
      </c>
      <c r="AO63" s="483"/>
      <c r="AP63" s="483"/>
      <c r="AQ63" s="76" t="s">
        <v>83</v>
      </c>
      <c r="AR63" s="73"/>
      <c r="AS63" s="77">
        <v>0</v>
      </c>
      <c r="AT63" s="78" t="e">
        <f t="shared" si="0"/>
        <v>#REF!</v>
      </c>
      <c r="AU63" s="79" t="e">
        <f>#REF!</f>
        <v>#REF!</v>
      </c>
      <c r="AV63" s="78" t="e">
        <f>#REF!</f>
        <v>#REF!</v>
      </c>
      <c r="AW63" s="78" t="e">
        <f>#REF!</f>
        <v>#REF!</v>
      </c>
      <c r="AX63" s="78" t="e">
        <f>#REF!</f>
        <v>#REF!</v>
      </c>
      <c r="AY63" s="78" t="e">
        <f>#REF!</f>
        <v>#REF!</v>
      </c>
      <c r="AZ63" s="78" t="e">
        <f>#REF!</f>
        <v>#REF!</v>
      </c>
      <c r="BA63" s="78" t="e">
        <f>#REF!</f>
        <v>#REF!</v>
      </c>
      <c r="BB63" s="78" t="e">
        <f>#REF!</f>
        <v>#REF!</v>
      </c>
      <c r="BC63" s="78" t="e">
        <f>#REF!</f>
        <v>#REF!</v>
      </c>
      <c r="BD63" s="80" t="e">
        <f>#REF!</f>
        <v>#REF!</v>
      </c>
      <c r="BT63" s="81" t="s">
        <v>84</v>
      </c>
      <c r="BV63" s="81" t="s">
        <v>78</v>
      </c>
      <c r="BW63" s="81" t="s">
        <v>110</v>
      </c>
      <c r="BX63" s="81" t="s">
        <v>5</v>
      </c>
      <c r="CL63" s="81" t="s">
        <v>19</v>
      </c>
      <c r="CM63" s="81" t="s">
        <v>86</v>
      </c>
    </row>
    <row r="64" spans="1:91" s="6" customFormat="1" ht="25.65" customHeight="1">
      <c r="A64" s="72" t="s">
        <v>80</v>
      </c>
      <c r="B64" s="73"/>
      <c r="C64" s="74"/>
      <c r="D64" s="458" t="s">
        <v>111</v>
      </c>
      <c r="E64" s="458"/>
      <c r="F64" s="458"/>
      <c r="G64" s="458"/>
      <c r="H64" s="458"/>
      <c r="I64" s="75"/>
      <c r="J64" s="458" t="s">
        <v>112</v>
      </c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82">
        <f>'SO 800-Sadové úpravy-nasl.pece'!F10</f>
        <v>0</v>
      </c>
      <c r="AH64" s="483"/>
      <c r="AI64" s="483"/>
      <c r="AJ64" s="483"/>
      <c r="AK64" s="483"/>
      <c r="AL64" s="483"/>
      <c r="AM64" s="483"/>
      <c r="AN64" s="482">
        <f>'SO 800-Sadové úpravy-nasl.pece'!G12</f>
        <v>0</v>
      </c>
      <c r="AO64" s="483"/>
      <c r="AP64" s="483"/>
      <c r="AQ64" s="76" t="s">
        <v>83</v>
      </c>
      <c r="AR64" s="73"/>
      <c r="AS64" s="77">
        <v>0</v>
      </c>
      <c r="AT64" s="78" t="e">
        <f t="shared" si="0"/>
        <v>#REF!</v>
      </c>
      <c r="AU64" s="79" t="e">
        <f>#REF!</f>
        <v>#REF!</v>
      </c>
      <c r="AV64" s="78" t="e">
        <f>#REF!</f>
        <v>#REF!</v>
      </c>
      <c r="AW64" s="78" t="e">
        <f>#REF!</f>
        <v>#REF!</v>
      </c>
      <c r="AX64" s="78" t="e">
        <f>#REF!</f>
        <v>#REF!</v>
      </c>
      <c r="AY64" s="78" t="e">
        <f>#REF!</f>
        <v>#REF!</v>
      </c>
      <c r="AZ64" s="78" t="e">
        <f>#REF!</f>
        <v>#REF!</v>
      </c>
      <c r="BA64" s="78" t="e">
        <f>#REF!</f>
        <v>#REF!</v>
      </c>
      <c r="BB64" s="78" t="e">
        <f>#REF!</f>
        <v>#REF!</v>
      </c>
      <c r="BC64" s="78" t="e">
        <f>#REF!</f>
        <v>#REF!</v>
      </c>
      <c r="BD64" s="80" t="e">
        <f>#REF!</f>
        <v>#REF!</v>
      </c>
      <c r="BT64" s="81" t="s">
        <v>84</v>
      </c>
      <c r="BV64" s="81" t="s">
        <v>78</v>
      </c>
      <c r="BW64" s="81" t="s">
        <v>113</v>
      </c>
      <c r="BX64" s="81" t="s">
        <v>5</v>
      </c>
      <c r="CL64" s="81" t="s">
        <v>19</v>
      </c>
      <c r="CM64" s="81" t="s">
        <v>86</v>
      </c>
    </row>
    <row r="65" spans="1:91" s="6" customFormat="1" ht="38.85" customHeight="1">
      <c r="A65" s="72" t="s">
        <v>80</v>
      </c>
      <c r="B65" s="73"/>
      <c r="C65" s="74"/>
      <c r="D65" s="458" t="s">
        <v>114</v>
      </c>
      <c r="E65" s="458"/>
      <c r="F65" s="458"/>
      <c r="G65" s="458"/>
      <c r="H65" s="458"/>
      <c r="I65" s="75"/>
      <c r="J65" s="458" t="s">
        <v>115</v>
      </c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82">
        <f>'SO 900, 901 - Podzemní ko...'!J30</f>
        <v>0</v>
      </c>
      <c r="AH65" s="483"/>
      <c r="AI65" s="483"/>
      <c r="AJ65" s="483"/>
      <c r="AK65" s="483"/>
      <c r="AL65" s="483"/>
      <c r="AM65" s="483"/>
      <c r="AN65" s="482">
        <f t="shared" si="1"/>
        <v>0</v>
      </c>
      <c r="AO65" s="483"/>
      <c r="AP65" s="483"/>
      <c r="AQ65" s="76" t="s">
        <v>83</v>
      </c>
      <c r="AR65" s="73"/>
      <c r="AS65" s="82">
        <v>0</v>
      </c>
      <c r="AT65" s="83">
        <f t="shared" si="0"/>
        <v>0</v>
      </c>
      <c r="AU65" s="84">
        <f>'SO 900, 901 - Podzemní ko...'!P82</f>
        <v>0</v>
      </c>
      <c r="AV65" s="83">
        <f>'SO 900, 901 - Podzemní ko...'!J33</f>
        <v>0</v>
      </c>
      <c r="AW65" s="83">
        <f>'SO 900, 901 - Podzemní ko...'!J34</f>
        <v>0</v>
      </c>
      <c r="AX65" s="83">
        <f>'SO 900, 901 - Podzemní ko...'!J35</f>
        <v>0</v>
      </c>
      <c r="AY65" s="83">
        <f>'SO 900, 901 - Podzemní ko...'!J36</f>
        <v>0</v>
      </c>
      <c r="AZ65" s="83">
        <f>'SO 900, 901 - Podzemní ko...'!F33</f>
        <v>0</v>
      </c>
      <c r="BA65" s="83">
        <f>'SO 900, 901 - Podzemní ko...'!F34</f>
        <v>0</v>
      </c>
      <c r="BB65" s="83">
        <f>'SO 900, 901 - Podzemní ko...'!F35</f>
        <v>0</v>
      </c>
      <c r="BC65" s="83">
        <f>'SO 900, 901 - Podzemní ko...'!F36</f>
        <v>0</v>
      </c>
      <c r="BD65" s="85">
        <f>'SO 900, 901 - Podzemní ko...'!F37</f>
        <v>0</v>
      </c>
      <c r="BT65" s="81" t="s">
        <v>84</v>
      </c>
      <c r="BV65" s="81" t="s">
        <v>78</v>
      </c>
      <c r="BW65" s="81" t="s">
        <v>116</v>
      </c>
      <c r="BX65" s="81" t="s">
        <v>5</v>
      </c>
      <c r="CL65" s="81" t="s">
        <v>19</v>
      </c>
      <c r="CM65" s="81" t="s">
        <v>86</v>
      </c>
    </row>
    <row r="66" spans="2:44" s="1" customFormat="1" ht="30" customHeight="1">
      <c r="B66" s="33"/>
      <c r="AR66" s="33"/>
    </row>
    <row r="67" spans="2:44" s="1" customFormat="1" ht="6.9" customHeight="1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33"/>
    </row>
  </sheetData>
  <sheetProtection formatColumns="0" formatRows="0"/>
  <mergeCells count="82">
    <mergeCell ref="AN65:AP65"/>
    <mergeCell ref="AG65:AM65"/>
    <mergeCell ref="AN54:AP54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K32:AO32"/>
    <mergeCell ref="AK30:AO30"/>
    <mergeCell ref="L45:AO45"/>
    <mergeCell ref="L32:P32"/>
    <mergeCell ref="W32:AE32"/>
    <mergeCell ref="AK33:AO33"/>
    <mergeCell ref="L33:P33"/>
    <mergeCell ref="W33:AE33"/>
    <mergeCell ref="L30:P30"/>
    <mergeCell ref="W30:AE30"/>
    <mergeCell ref="L31:P31"/>
    <mergeCell ref="W31:AE31"/>
    <mergeCell ref="AK31:AO31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01 - Vedlejší rozpočt...'!C2" display="/"/>
    <hyperlink ref="A56" location="'SO 100 - Komunikace a par...'!C2" display="/"/>
    <hyperlink ref="A57" location="'SO 110 - Chodníky'!C2" display="/"/>
    <hyperlink ref="A58" location="'SO 200 - Opěrná stěna'!C2" display="/"/>
    <hyperlink ref="A59" location="'SO 300 - Kanalizace dešťová'!C2" display="/"/>
    <hyperlink ref="A60" location="'SO 400.3 - Přeložka sdělo...'!C2" display="/"/>
    <hyperlink ref="A61" location="'SO 400.4 - Přeložka sdělo...'!C2" display="/"/>
    <hyperlink ref="A62" location="'SO 600 - Veřejné osvětlení'!C2" display="/"/>
    <hyperlink ref="A63" location="'SO 800 - Sadové úpravy'!C2" display="/"/>
    <hyperlink ref="A64" location="'SO 800-1 - Sadové úpravy ...'!C2" display="/"/>
    <hyperlink ref="A65" location="'SO 900, 901 - Podzemní k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OutlineSymbols="0" workbookViewId="0" topLeftCell="A1">
      <pane ySplit="11" topLeftCell="A12" activePane="bottomLeft" state="frozen"/>
      <selection pane="topLeft" activeCell="G33" sqref="G33:I33"/>
      <selection pane="bottomLeft" activeCell="G2" sqref="G1:J1048576"/>
    </sheetView>
  </sheetViews>
  <sheetFormatPr defaultColWidth="14.140625" defaultRowHeight="15" customHeight="1"/>
  <cols>
    <col min="1" max="2" width="10.00390625" style="285" customWidth="1"/>
    <col min="3" max="3" width="83.28125" style="285" customWidth="1"/>
    <col min="4" max="6" width="32.421875" style="285" customWidth="1"/>
    <col min="7" max="7" width="43.28125" style="285" customWidth="1"/>
    <col min="8" max="9" width="14.140625" style="285" hidden="1" customWidth="1"/>
    <col min="10" max="256" width="14.140625" style="285" customWidth="1"/>
    <col min="257" max="258" width="10.00390625" style="285" customWidth="1"/>
    <col min="259" max="259" width="83.28125" style="285" customWidth="1"/>
    <col min="260" max="262" width="32.421875" style="285" customWidth="1"/>
    <col min="263" max="263" width="43.28125" style="285" customWidth="1"/>
    <col min="264" max="265" width="14.140625" style="285" hidden="1" customWidth="1"/>
    <col min="266" max="512" width="14.140625" style="285" customWidth="1"/>
    <col min="513" max="514" width="10.00390625" style="285" customWidth="1"/>
    <col min="515" max="515" width="83.28125" style="285" customWidth="1"/>
    <col min="516" max="518" width="32.421875" style="285" customWidth="1"/>
    <col min="519" max="519" width="43.28125" style="285" customWidth="1"/>
    <col min="520" max="521" width="14.140625" style="285" hidden="1" customWidth="1"/>
    <col min="522" max="768" width="14.140625" style="285" customWidth="1"/>
    <col min="769" max="770" width="10.00390625" style="285" customWidth="1"/>
    <col min="771" max="771" width="83.28125" style="285" customWidth="1"/>
    <col min="772" max="774" width="32.421875" style="285" customWidth="1"/>
    <col min="775" max="775" width="43.28125" style="285" customWidth="1"/>
    <col min="776" max="777" width="14.140625" style="285" hidden="1" customWidth="1"/>
    <col min="778" max="1024" width="14.140625" style="285" customWidth="1"/>
    <col min="1025" max="1026" width="10.00390625" style="285" customWidth="1"/>
    <col min="1027" max="1027" width="83.28125" style="285" customWidth="1"/>
    <col min="1028" max="1030" width="32.421875" style="285" customWidth="1"/>
    <col min="1031" max="1031" width="43.28125" style="285" customWidth="1"/>
    <col min="1032" max="1033" width="14.140625" style="285" hidden="1" customWidth="1"/>
    <col min="1034" max="1280" width="14.140625" style="285" customWidth="1"/>
    <col min="1281" max="1282" width="10.00390625" style="285" customWidth="1"/>
    <col min="1283" max="1283" width="83.28125" style="285" customWidth="1"/>
    <col min="1284" max="1286" width="32.421875" style="285" customWidth="1"/>
    <col min="1287" max="1287" width="43.28125" style="285" customWidth="1"/>
    <col min="1288" max="1289" width="14.140625" style="285" hidden="1" customWidth="1"/>
    <col min="1290" max="1536" width="14.140625" style="285" customWidth="1"/>
    <col min="1537" max="1538" width="10.00390625" style="285" customWidth="1"/>
    <col min="1539" max="1539" width="83.28125" style="285" customWidth="1"/>
    <col min="1540" max="1542" width="32.421875" style="285" customWidth="1"/>
    <col min="1543" max="1543" width="43.28125" style="285" customWidth="1"/>
    <col min="1544" max="1545" width="14.140625" style="285" hidden="1" customWidth="1"/>
    <col min="1546" max="1792" width="14.140625" style="285" customWidth="1"/>
    <col min="1793" max="1794" width="10.00390625" style="285" customWidth="1"/>
    <col min="1795" max="1795" width="83.28125" style="285" customWidth="1"/>
    <col min="1796" max="1798" width="32.421875" style="285" customWidth="1"/>
    <col min="1799" max="1799" width="43.28125" style="285" customWidth="1"/>
    <col min="1800" max="1801" width="14.140625" style="285" hidden="1" customWidth="1"/>
    <col min="1802" max="2048" width="14.140625" style="285" customWidth="1"/>
    <col min="2049" max="2050" width="10.00390625" style="285" customWidth="1"/>
    <col min="2051" max="2051" width="83.28125" style="285" customWidth="1"/>
    <col min="2052" max="2054" width="32.421875" style="285" customWidth="1"/>
    <col min="2055" max="2055" width="43.28125" style="285" customWidth="1"/>
    <col min="2056" max="2057" width="14.140625" style="285" hidden="1" customWidth="1"/>
    <col min="2058" max="2304" width="14.140625" style="285" customWidth="1"/>
    <col min="2305" max="2306" width="10.00390625" style="285" customWidth="1"/>
    <col min="2307" max="2307" width="83.28125" style="285" customWidth="1"/>
    <col min="2308" max="2310" width="32.421875" style="285" customWidth="1"/>
    <col min="2311" max="2311" width="43.28125" style="285" customWidth="1"/>
    <col min="2312" max="2313" width="14.140625" style="285" hidden="1" customWidth="1"/>
    <col min="2314" max="2560" width="14.140625" style="285" customWidth="1"/>
    <col min="2561" max="2562" width="10.00390625" style="285" customWidth="1"/>
    <col min="2563" max="2563" width="83.28125" style="285" customWidth="1"/>
    <col min="2564" max="2566" width="32.421875" style="285" customWidth="1"/>
    <col min="2567" max="2567" width="43.28125" style="285" customWidth="1"/>
    <col min="2568" max="2569" width="14.140625" style="285" hidden="1" customWidth="1"/>
    <col min="2570" max="2816" width="14.140625" style="285" customWidth="1"/>
    <col min="2817" max="2818" width="10.00390625" style="285" customWidth="1"/>
    <col min="2819" max="2819" width="83.28125" style="285" customWidth="1"/>
    <col min="2820" max="2822" width="32.421875" style="285" customWidth="1"/>
    <col min="2823" max="2823" width="43.28125" style="285" customWidth="1"/>
    <col min="2824" max="2825" width="14.140625" style="285" hidden="1" customWidth="1"/>
    <col min="2826" max="3072" width="14.140625" style="285" customWidth="1"/>
    <col min="3073" max="3074" width="10.00390625" style="285" customWidth="1"/>
    <col min="3075" max="3075" width="83.28125" style="285" customWidth="1"/>
    <col min="3076" max="3078" width="32.421875" style="285" customWidth="1"/>
    <col min="3079" max="3079" width="43.28125" style="285" customWidth="1"/>
    <col min="3080" max="3081" width="14.140625" style="285" hidden="1" customWidth="1"/>
    <col min="3082" max="3328" width="14.140625" style="285" customWidth="1"/>
    <col min="3329" max="3330" width="10.00390625" style="285" customWidth="1"/>
    <col min="3331" max="3331" width="83.28125" style="285" customWidth="1"/>
    <col min="3332" max="3334" width="32.421875" style="285" customWidth="1"/>
    <col min="3335" max="3335" width="43.28125" style="285" customWidth="1"/>
    <col min="3336" max="3337" width="14.140625" style="285" hidden="1" customWidth="1"/>
    <col min="3338" max="3584" width="14.140625" style="285" customWidth="1"/>
    <col min="3585" max="3586" width="10.00390625" style="285" customWidth="1"/>
    <col min="3587" max="3587" width="83.28125" style="285" customWidth="1"/>
    <col min="3588" max="3590" width="32.421875" style="285" customWidth="1"/>
    <col min="3591" max="3591" width="43.28125" style="285" customWidth="1"/>
    <col min="3592" max="3593" width="14.140625" style="285" hidden="1" customWidth="1"/>
    <col min="3594" max="3840" width="14.140625" style="285" customWidth="1"/>
    <col min="3841" max="3842" width="10.00390625" style="285" customWidth="1"/>
    <col min="3843" max="3843" width="83.28125" style="285" customWidth="1"/>
    <col min="3844" max="3846" width="32.421875" style="285" customWidth="1"/>
    <col min="3847" max="3847" width="43.28125" style="285" customWidth="1"/>
    <col min="3848" max="3849" width="14.140625" style="285" hidden="1" customWidth="1"/>
    <col min="3850" max="4096" width="14.140625" style="285" customWidth="1"/>
    <col min="4097" max="4098" width="10.00390625" style="285" customWidth="1"/>
    <col min="4099" max="4099" width="83.28125" style="285" customWidth="1"/>
    <col min="4100" max="4102" width="32.421875" style="285" customWidth="1"/>
    <col min="4103" max="4103" width="43.28125" style="285" customWidth="1"/>
    <col min="4104" max="4105" width="14.140625" style="285" hidden="1" customWidth="1"/>
    <col min="4106" max="4352" width="14.140625" style="285" customWidth="1"/>
    <col min="4353" max="4354" width="10.00390625" style="285" customWidth="1"/>
    <col min="4355" max="4355" width="83.28125" style="285" customWidth="1"/>
    <col min="4356" max="4358" width="32.421875" style="285" customWidth="1"/>
    <col min="4359" max="4359" width="43.28125" style="285" customWidth="1"/>
    <col min="4360" max="4361" width="14.140625" style="285" hidden="1" customWidth="1"/>
    <col min="4362" max="4608" width="14.140625" style="285" customWidth="1"/>
    <col min="4609" max="4610" width="10.00390625" style="285" customWidth="1"/>
    <col min="4611" max="4611" width="83.28125" style="285" customWidth="1"/>
    <col min="4612" max="4614" width="32.421875" style="285" customWidth="1"/>
    <col min="4615" max="4615" width="43.28125" style="285" customWidth="1"/>
    <col min="4616" max="4617" width="14.140625" style="285" hidden="1" customWidth="1"/>
    <col min="4618" max="4864" width="14.140625" style="285" customWidth="1"/>
    <col min="4865" max="4866" width="10.00390625" style="285" customWidth="1"/>
    <col min="4867" max="4867" width="83.28125" style="285" customWidth="1"/>
    <col min="4868" max="4870" width="32.421875" style="285" customWidth="1"/>
    <col min="4871" max="4871" width="43.28125" style="285" customWidth="1"/>
    <col min="4872" max="4873" width="14.140625" style="285" hidden="1" customWidth="1"/>
    <col min="4874" max="5120" width="14.140625" style="285" customWidth="1"/>
    <col min="5121" max="5122" width="10.00390625" style="285" customWidth="1"/>
    <col min="5123" max="5123" width="83.28125" style="285" customWidth="1"/>
    <col min="5124" max="5126" width="32.421875" style="285" customWidth="1"/>
    <col min="5127" max="5127" width="43.28125" style="285" customWidth="1"/>
    <col min="5128" max="5129" width="14.140625" style="285" hidden="1" customWidth="1"/>
    <col min="5130" max="5376" width="14.140625" style="285" customWidth="1"/>
    <col min="5377" max="5378" width="10.00390625" style="285" customWidth="1"/>
    <col min="5379" max="5379" width="83.28125" style="285" customWidth="1"/>
    <col min="5380" max="5382" width="32.421875" style="285" customWidth="1"/>
    <col min="5383" max="5383" width="43.28125" style="285" customWidth="1"/>
    <col min="5384" max="5385" width="14.140625" style="285" hidden="1" customWidth="1"/>
    <col min="5386" max="5632" width="14.140625" style="285" customWidth="1"/>
    <col min="5633" max="5634" width="10.00390625" style="285" customWidth="1"/>
    <col min="5635" max="5635" width="83.28125" style="285" customWidth="1"/>
    <col min="5636" max="5638" width="32.421875" style="285" customWidth="1"/>
    <col min="5639" max="5639" width="43.28125" style="285" customWidth="1"/>
    <col min="5640" max="5641" width="14.140625" style="285" hidden="1" customWidth="1"/>
    <col min="5642" max="5888" width="14.140625" style="285" customWidth="1"/>
    <col min="5889" max="5890" width="10.00390625" style="285" customWidth="1"/>
    <col min="5891" max="5891" width="83.28125" style="285" customWidth="1"/>
    <col min="5892" max="5894" width="32.421875" style="285" customWidth="1"/>
    <col min="5895" max="5895" width="43.28125" style="285" customWidth="1"/>
    <col min="5896" max="5897" width="14.140625" style="285" hidden="1" customWidth="1"/>
    <col min="5898" max="6144" width="14.140625" style="285" customWidth="1"/>
    <col min="6145" max="6146" width="10.00390625" style="285" customWidth="1"/>
    <col min="6147" max="6147" width="83.28125" style="285" customWidth="1"/>
    <col min="6148" max="6150" width="32.421875" style="285" customWidth="1"/>
    <col min="6151" max="6151" width="43.28125" style="285" customWidth="1"/>
    <col min="6152" max="6153" width="14.140625" style="285" hidden="1" customWidth="1"/>
    <col min="6154" max="6400" width="14.140625" style="285" customWidth="1"/>
    <col min="6401" max="6402" width="10.00390625" style="285" customWidth="1"/>
    <col min="6403" max="6403" width="83.28125" style="285" customWidth="1"/>
    <col min="6404" max="6406" width="32.421875" style="285" customWidth="1"/>
    <col min="6407" max="6407" width="43.28125" style="285" customWidth="1"/>
    <col min="6408" max="6409" width="14.140625" style="285" hidden="1" customWidth="1"/>
    <col min="6410" max="6656" width="14.140625" style="285" customWidth="1"/>
    <col min="6657" max="6658" width="10.00390625" style="285" customWidth="1"/>
    <col min="6659" max="6659" width="83.28125" style="285" customWidth="1"/>
    <col min="6660" max="6662" width="32.421875" style="285" customWidth="1"/>
    <col min="6663" max="6663" width="43.28125" style="285" customWidth="1"/>
    <col min="6664" max="6665" width="14.140625" style="285" hidden="1" customWidth="1"/>
    <col min="6666" max="6912" width="14.140625" style="285" customWidth="1"/>
    <col min="6913" max="6914" width="10.00390625" style="285" customWidth="1"/>
    <col min="6915" max="6915" width="83.28125" style="285" customWidth="1"/>
    <col min="6916" max="6918" width="32.421875" style="285" customWidth="1"/>
    <col min="6919" max="6919" width="43.28125" style="285" customWidth="1"/>
    <col min="6920" max="6921" width="14.140625" style="285" hidden="1" customWidth="1"/>
    <col min="6922" max="7168" width="14.140625" style="285" customWidth="1"/>
    <col min="7169" max="7170" width="10.00390625" style="285" customWidth="1"/>
    <col min="7171" max="7171" width="83.28125" style="285" customWidth="1"/>
    <col min="7172" max="7174" width="32.421875" style="285" customWidth="1"/>
    <col min="7175" max="7175" width="43.28125" style="285" customWidth="1"/>
    <col min="7176" max="7177" width="14.140625" style="285" hidden="1" customWidth="1"/>
    <col min="7178" max="7424" width="14.140625" style="285" customWidth="1"/>
    <col min="7425" max="7426" width="10.00390625" style="285" customWidth="1"/>
    <col min="7427" max="7427" width="83.28125" style="285" customWidth="1"/>
    <col min="7428" max="7430" width="32.421875" style="285" customWidth="1"/>
    <col min="7431" max="7431" width="43.28125" style="285" customWidth="1"/>
    <col min="7432" max="7433" width="14.140625" style="285" hidden="1" customWidth="1"/>
    <col min="7434" max="7680" width="14.140625" style="285" customWidth="1"/>
    <col min="7681" max="7682" width="10.00390625" style="285" customWidth="1"/>
    <col min="7683" max="7683" width="83.28125" style="285" customWidth="1"/>
    <col min="7684" max="7686" width="32.421875" style="285" customWidth="1"/>
    <col min="7687" max="7687" width="43.28125" style="285" customWidth="1"/>
    <col min="7688" max="7689" width="14.140625" style="285" hidden="1" customWidth="1"/>
    <col min="7690" max="7936" width="14.140625" style="285" customWidth="1"/>
    <col min="7937" max="7938" width="10.00390625" style="285" customWidth="1"/>
    <col min="7939" max="7939" width="83.28125" style="285" customWidth="1"/>
    <col min="7940" max="7942" width="32.421875" style="285" customWidth="1"/>
    <col min="7943" max="7943" width="43.28125" style="285" customWidth="1"/>
    <col min="7944" max="7945" width="14.140625" style="285" hidden="1" customWidth="1"/>
    <col min="7946" max="8192" width="14.140625" style="285" customWidth="1"/>
    <col min="8193" max="8194" width="10.00390625" style="285" customWidth="1"/>
    <col min="8195" max="8195" width="83.28125" style="285" customWidth="1"/>
    <col min="8196" max="8198" width="32.421875" style="285" customWidth="1"/>
    <col min="8199" max="8199" width="43.28125" style="285" customWidth="1"/>
    <col min="8200" max="8201" width="14.140625" style="285" hidden="1" customWidth="1"/>
    <col min="8202" max="8448" width="14.140625" style="285" customWidth="1"/>
    <col min="8449" max="8450" width="10.00390625" style="285" customWidth="1"/>
    <col min="8451" max="8451" width="83.28125" style="285" customWidth="1"/>
    <col min="8452" max="8454" width="32.421875" style="285" customWidth="1"/>
    <col min="8455" max="8455" width="43.28125" style="285" customWidth="1"/>
    <col min="8456" max="8457" width="14.140625" style="285" hidden="1" customWidth="1"/>
    <col min="8458" max="8704" width="14.140625" style="285" customWidth="1"/>
    <col min="8705" max="8706" width="10.00390625" style="285" customWidth="1"/>
    <col min="8707" max="8707" width="83.28125" style="285" customWidth="1"/>
    <col min="8708" max="8710" width="32.421875" style="285" customWidth="1"/>
    <col min="8711" max="8711" width="43.28125" style="285" customWidth="1"/>
    <col min="8712" max="8713" width="14.140625" style="285" hidden="1" customWidth="1"/>
    <col min="8714" max="8960" width="14.140625" style="285" customWidth="1"/>
    <col min="8961" max="8962" width="10.00390625" style="285" customWidth="1"/>
    <col min="8963" max="8963" width="83.28125" style="285" customWidth="1"/>
    <col min="8964" max="8966" width="32.421875" style="285" customWidth="1"/>
    <col min="8967" max="8967" width="43.28125" style="285" customWidth="1"/>
    <col min="8968" max="8969" width="14.140625" style="285" hidden="1" customWidth="1"/>
    <col min="8970" max="9216" width="14.140625" style="285" customWidth="1"/>
    <col min="9217" max="9218" width="10.00390625" style="285" customWidth="1"/>
    <col min="9219" max="9219" width="83.28125" style="285" customWidth="1"/>
    <col min="9220" max="9222" width="32.421875" style="285" customWidth="1"/>
    <col min="9223" max="9223" width="43.28125" style="285" customWidth="1"/>
    <col min="9224" max="9225" width="14.140625" style="285" hidden="1" customWidth="1"/>
    <col min="9226" max="9472" width="14.140625" style="285" customWidth="1"/>
    <col min="9473" max="9474" width="10.00390625" style="285" customWidth="1"/>
    <col min="9475" max="9475" width="83.28125" style="285" customWidth="1"/>
    <col min="9476" max="9478" width="32.421875" style="285" customWidth="1"/>
    <col min="9479" max="9479" width="43.28125" style="285" customWidth="1"/>
    <col min="9480" max="9481" width="14.140625" style="285" hidden="1" customWidth="1"/>
    <col min="9482" max="9728" width="14.140625" style="285" customWidth="1"/>
    <col min="9729" max="9730" width="10.00390625" style="285" customWidth="1"/>
    <col min="9731" max="9731" width="83.28125" style="285" customWidth="1"/>
    <col min="9732" max="9734" width="32.421875" style="285" customWidth="1"/>
    <col min="9735" max="9735" width="43.28125" style="285" customWidth="1"/>
    <col min="9736" max="9737" width="14.140625" style="285" hidden="1" customWidth="1"/>
    <col min="9738" max="9984" width="14.140625" style="285" customWidth="1"/>
    <col min="9985" max="9986" width="10.00390625" style="285" customWidth="1"/>
    <col min="9987" max="9987" width="83.28125" style="285" customWidth="1"/>
    <col min="9988" max="9990" width="32.421875" style="285" customWidth="1"/>
    <col min="9991" max="9991" width="43.28125" style="285" customWidth="1"/>
    <col min="9992" max="9993" width="14.140625" style="285" hidden="1" customWidth="1"/>
    <col min="9994" max="10240" width="14.140625" style="285" customWidth="1"/>
    <col min="10241" max="10242" width="10.00390625" style="285" customWidth="1"/>
    <col min="10243" max="10243" width="83.28125" style="285" customWidth="1"/>
    <col min="10244" max="10246" width="32.421875" style="285" customWidth="1"/>
    <col min="10247" max="10247" width="43.28125" style="285" customWidth="1"/>
    <col min="10248" max="10249" width="14.140625" style="285" hidden="1" customWidth="1"/>
    <col min="10250" max="10496" width="14.140625" style="285" customWidth="1"/>
    <col min="10497" max="10498" width="10.00390625" style="285" customWidth="1"/>
    <col min="10499" max="10499" width="83.28125" style="285" customWidth="1"/>
    <col min="10500" max="10502" width="32.421875" style="285" customWidth="1"/>
    <col min="10503" max="10503" width="43.28125" style="285" customWidth="1"/>
    <col min="10504" max="10505" width="14.140625" style="285" hidden="1" customWidth="1"/>
    <col min="10506" max="10752" width="14.140625" style="285" customWidth="1"/>
    <col min="10753" max="10754" width="10.00390625" style="285" customWidth="1"/>
    <col min="10755" max="10755" width="83.28125" style="285" customWidth="1"/>
    <col min="10756" max="10758" width="32.421875" style="285" customWidth="1"/>
    <col min="10759" max="10759" width="43.28125" style="285" customWidth="1"/>
    <col min="10760" max="10761" width="14.140625" style="285" hidden="1" customWidth="1"/>
    <col min="10762" max="11008" width="14.140625" style="285" customWidth="1"/>
    <col min="11009" max="11010" width="10.00390625" style="285" customWidth="1"/>
    <col min="11011" max="11011" width="83.28125" style="285" customWidth="1"/>
    <col min="11012" max="11014" width="32.421875" style="285" customWidth="1"/>
    <col min="11015" max="11015" width="43.28125" style="285" customWidth="1"/>
    <col min="11016" max="11017" width="14.140625" style="285" hidden="1" customWidth="1"/>
    <col min="11018" max="11264" width="14.140625" style="285" customWidth="1"/>
    <col min="11265" max="11266" width="10.00390625" style="285" customWidth="1"/>
    <col min="11267" max="11267" width="83.28125" style="285" customWidth="1"/>
    <col min="11268" max="11270" width="32.421875" style="285" customWidth="1"/>
    <col min="11271" max="11271" width="43.28125" style="285" customWidth="1"/>
    <col min="11272" max="11273" width="14.140625" style="285" hidden="1" customWidth="1"/>
    <col min="11274" max="11520" width="14.140625" style="285" customWidth="1"/>
    <col min="11521" max="11522" width="10.00390625" style="285" customWidth="1"/>
    <col min="11523" max="11523" width="83.28125" style="285" customWidth="1"/>
    <col min="11524" max="11526" width="32.421875" style="285" customWidth="1"/>
    <col min="11527" max="11527" width="43.28125" style="285" customWidth="1"/>
    <col min="11528" max="11529" width="14.140625" style="285" hidden="1" customWidth="1"/>
    <col min="11530" max="11776" width="14.140625" style="285" customWidth="1"/>
    <col min="11777" max="11778" width="10.00390625" style="285" customWidth="1"/>
    <col min="11779" max="11779" width="83.28125" style="285" customWidth="1"/>
    <col min="11780" max="11782" width="32.421875" style="285" customWidth="1"/>
    <col min="11783" max="11783" width="43.28125" style="285" customWidth="1"/>
    <col min="11784" max="11785" width="14.140625" style="285" hidden="1" customWidth="1"/>
    <col min="11786" max="12032" width="14.140625" style="285" customWidth="1"/>
    <col min="12033" max="12034" width="10.00390625" style="285" customWidth="1"/>
    <col min="12035" max="12035" width="83.28125" style="285" customWidth="1"/>
    <col min="12036" max="12038" width="32.421875" style="285" customWidth="1"/>
    <col min="12039" max="12039" width="43.28125" style="285" customWidth="1"/>
    <col min="12040" max="12041" width="14.140625" style="285" hidden="1" customWidth="1"/>
    <col min="12042" max="12288" width="14.140625" style="285" customWidth="1"/>
    <col min="12289" max="12290" width="10.00390625" style="285" customWidth="1"/>
    <col min="12291" max="12291" width="83.28125" style="285" customWidth="1"/>
    <col min="12292" max="12294" width="32.421875" style="285" customWidth="1"/>
    <col min="12295" max="12295" width="43.28125" style="285" customWidth="1"/>
    <col min="12296" max="12297" width="14.140625" style="285" hidden="1" customWidth="1"/>
    <col min="12298" max="12544" width="14.140625" style="285" customWidth="1"/>
    <col min="12545" max="12546" width="10.00390625" style="285" customWidth="1"/>
    <col min="12547" max="12547" width="83.28125" style="285" customWidth="1"/>
    <col min="12548" max="12550" width="32.421875" style="285" customWidth="1"/>
    <col min="12551" max="12551" width="43.28125" style="285" customWidth="1"/>
    <col min="12552" max="12553" width="14.140625" style="285" hidden="1" customWidth="1"/>
    <col min="12554" max="12800" width="14.140625" style="285" customWidth="1"/>
    <col min="12801" max="12802" width="10.00390625" style="285" customWidth="1"/>
    <col min="12803" max="12803" width="83.28125" style="285" customWidth="1"/>
    <col min="12804" max="12806" width="32.421875" style="285" customWidth="1"/>
    <col min="12807" max="12807" width="43.28125" style="285" customWidth="1"/>
    <col min="12808" max="12809" width="14.140625" style="285" hidden="1" customWidth="1"/>
    <col min="12810" max="13056" width="14.140625" style="285" customWidth="1"/>
    <col min="13057" max="13058" width="10.00390625" style="285" customWidth="1"/>
    <col min="13059" max="13059" width="83.28125" style="285" customWidth="1"/>
    <col min="13060" max="13062" width="32.421875" style="285" customWidth="1"/>
    <col min="13063" max="13063" width="43.28125" style="285" customWidth="1"/>
    <col min="13064" max="13065" width="14.140625" style="285" hidden="1" customWidth="1"/>
    <col min="13066" max="13312" width="14.140625" style="285" customWidth="1"/>
    <col min="13313" max="13314" width="10.00390625" style="285" customWidth="1"/>
    <col min="13315" max="13315" width="83.28125" style="285" customWidth="1"/>
    <col min="13316" max="13318" width="32.421875" style="285" customWidth="1"/>
    <col min="13319" max="13319" width="43.28125" style="285" customWidth="1"/>
    <col min="13320" max="13321" width="14.140625" style="285" hidden="1" customWidth="1"/>
    <col min="13322" max="13568" width="14.140625" style="285" customWidth="1"/>
    <col min="13569" max="13570" width="10.00390625" style="285" customWidth="1"/>
    <col min="13571" max="13571" width="83.28125" style="285" customWidth="1"/>
    <col min="13572" max="13574" width="32.421875" style="285" customWidth="1"/>
    <col min="13575" max="13575" width="43.28125" style="285" customWidth="1"/>
    <col min="13576" max="13577" width="14.140625" style="285" hidden="1" customWidth="1"/>
    <col min="13578" max="13824" width="14.140625" style="285" customWidth="1"/>
    <col min="13825" max="13826" width="10.00390625" style="285" customWidth="1"/>
    <col min="13827" max="13827" width="83.28125" style="285" customWidth="1"/>
    <col min="13828" max="13830" width="32.421875" style="285" customWidth="1"/>
    <col min="13831" max="13831" width="43.28125" style="285" customWidth="1"/>
    <col min="13832" max="13833" width="14.140625" style="285" hidden="1" customWidth="1"/>
    <col min="13834" max="14080" width="14.140625" style="285" customWidth="1"/>
    <col min="14081" max="14082" width="10.00390625" style="285" customWidth="1"/>
    <col min="14083" max="14083" width="83.28125" style="285" customWidth="1"/>
    <col min="14084" max="14086" width="32.421875" style="285" customWidth="1"/>
    <col min="14087" max="14087" width="43.28125" style="285" customWidth="1"/>
    <col min="14088" max="14089" width="14.140625" style="285" hidden="1" customWidth="1"/>
    <col min="14090" max="14336" width="14.140625" style="285" customWidth="1"/>
    <col min="14337" max="14338" width="10.00390625" style="285" customWidth="1"/>
    <col min="14339" max="14339" width="83.28125" style="285" customWidth="1"/>
    <col min="14340" max="14342" width="32.421875" style="285" customWidth="1"/>
    <col min="14343" max="14343" width="43.28125" style="285" customWidth="1"/>
    <col min="14344" max="14345" width="14.140625" style="285" hidden="1" customWidth="1"/>
    <col min="14346" max="14592" width="14.140625" style="285" customWidth="1"/>
    <col min="14593" max="14594" width="10.00390625" style="285" customWidth="1"/>
    <col min="14595" max="14595" width="83.28125" style="285" customWidth="1"/>
    <col min="14596" max="14598" width="32.421875" style="285" customWidth="1"/>
    <col min="14599" max="14599" width="43.28125" style="285" customWidth="1"/>
    <col min="14600" max="14601" width="14.140625" style="285" hidden="1" customWidth="1"/>
    <col min="14602" max="14848" width="14.140625" style="285" customWidth="1"/>
    <col min="14849" max="14850" width="10.00390625" style="285" customWidth="1"/>
    <col min="14851" max="14851" width="83.28125" style="285" customWidth="1"/>
    <col min="14852" max="14854" width="32.421875" style="285" customWidth="1"/>
    <col min="14855" max="14855" width="43.28125" style="285" customWidth="1"/>
    <col min="14856" max="14857" width="14.140625" style="285" hidden="1" customWidth="1"/>
    <col min="14858" max="15104" width="14.140625" style="285" customWidth="1"/>
    <col min="15105" max="15106" width="10.00390625" style="285" customWidth="1"/>
    <col min="15107" max="15107" width="83.28125" style="285" customWidth="1"/>
    <col min="15108" max="15110" width="32.421875" style="285" customWidth="1"/>
    <col min="15111" max="15111" width="43.28125" style="285" customWidth="1"/>
    <col min="15112" max="15113" width="14.140625" style="285" hidden="1" customWidth="1"/>
    <col min="15114" max="15360" width="14.140625" style="285" customWidth="1"/>
    <col min="15361" max="15362" width="10.00390625" style="285" customWidth="1"/>
    <col min="15363" max="15363" width="83.28125" style="285" customWidth="1"/>
    <col min="15364" max="15366" width="32.421875" style="285" customWidth="1"/>
    <col min="15367" max="15367" width="43.28125" style="285" customWidth="1"/>
    <col min="15368" max="15369" width="14.140625" style="285" hidden="1" customWidth="1"/>
    <col min="15370" max="15616" width="14.140625" style="285" customWidth="1"/>
    <col min="15617" max="15618" width="10.00390625" style="285" customWidth="1"/>
    <col min="15619" max="15619" width="83.28125" style="285" customWidth="1"/>
    <col min="15620" max="15622" width="32.421875" style="285" customWidth="1"/>
    <col min="15623" max="15623" width="43.28125" style="285" customWidth="1"/>
    <col min="15624" max="15625" width="14.140625" style="285" hidden="1" customWidth="1"/>
    <col min="15626" max="15872" width="14.140625" style="285" customWidth="1"/>
    <col min="15873" max="15874" width="10.00390625" style="285" customWidth="1"/>
    <col min="15875" max="15875" width="83.28125" style="285" customWidth="1"/>
    <col min="15876" max="15878" width="32.421875" style="285" customWidth="1"/>
    <col min="15879" max="15879" width="43.28125" style="285" customWidth="1"/>
    <col min="15880" max="15881" width="14.140625" style="285" hidden="1" customWidth="1"/>
    <col min="15882" max="16128" width="14.140625" style="285" customWidth="1"/>
    <col min="16129" max="16130" width="10.00390625" style="285" customWidth="1"/>
    <col min="16131" max="16131" width="83.28125" style="285" customWidth="1"/>
    <col min="16132" max="16134" width="32.421875" style="285" customWidth="1"/>
    <col min="16135" max="16135" width="43.28125" style="285" customWidth="1"/>
    <col min="16136" max="16137" width="14.140625" style="285" hidden="1" customWidth="1"/>
    <col min="16138" max="16384" width="14.140625" style="285" customWidth="1"/>
  </cols>
  <sheetData>
    <row r="1" spans="1:7" ht="54.75" customHeight="1">
      <c r="A1" s="500" t="s">
        <v>2042</v>
      </c>
      <c r="B1" s="500"/>
      <c r="C1" s="500"/>
      <c r="D1" s="500"/>
      <c r="E1" s="500"/>
      <c r="F1" s="500"/>
      <c r="G1" s="500"/>
    </row>
    <row r="2" spans="1:7" ht="15" customHeight="1">
      <c r="A2" s="501" t="s">
        <v>1996</v>
      </c>
      <c r="B2" s="502"/>
      <c r="C2" s="505" t="str">
        <f>'SO 600 VO - rozpočet'!D2</f>
        <v>REGENERACE PANELOVÉHO SÍDLIŠTĚ PRIEVIDZSKÁ - 7.ETAPA</v>
      </c>
      <c r="D2" s="502" t="s">
        <v>2043</v>
      </c>
      <c r="E2" s="502" t="s">
        <v>39</v>
      </c>
      <c r="F2" s="508" t="s">
        <v>1997</v>
      </c>
      <c r="G2" s="545" t="str">
        <f>'SO 600 VO - rozpočet'!J2</f>
        <v>Město Šumperk, zastoupený MěÚ Šumperk odborem RÚI,</v>
      </c>
    </row>
    <row r="3" spans="1:7" ht="15" customHeight="1">
      <c r="A3" s="503"/>
      <c r="B3" s="504"/>
      <c r="C3" s="507"/>
      <c r="D3" s="504"/>
      <c r="E3" s="504"/>
      <c r="F3" s="504"/>
      <c r="G3" s="510"/>
    </row>
    <row r="4" spans="1:7" ht="15" customHeight="1">
      <c r="A4" s="511" t="s">
        <v>1999</v>
      </c>
      <c r="B4" s="504"/>
      <c r="C4" s="512" t="str">
        <f>'SO 600 VO - rozpočet'!D4</f>
        <v>SO 600 - Veřejné osvětlení</v>
      </c>
      <c r="D4" s="504" t="s">
        <v>2002</v>
      </c>
      <c r="E4" s="504" t="s">
        <v>2044</v>
      </c>
      <c r="F4" s="512" t="s">
        <v>33</v>
      </c>
      <c r="G4" s="513" t="str">
        <f>'SO 600 VO - rozpočet'!J4</f>
        <v> </v>
      </c>
    </row>
    <row r="5" spans="1:7" ht="15" customHeight="1">
      <c r="A5" s="503"/>
      <c r="B5" s="504"/>
      <c r="C5" s="504"/>
      <c r="D5" s="504"/>
      <c r="E5" s="504"/>
      <c r="F5" s="504"/>
      <c r="G5" s="510"/>
    </row>
    <row r="6" spans="1:7" ht="15" customHeight="1">
      <c r="A6" s="511" t="s">
        <v>2000</v>
      </c>
      <c r="B6" s="504"/>
      <c r="C6" s="512" t="str">
        <f>'SO 600 VO - rozpočet'!D6</f>
        <v xml:space="preserve"> </v>
      </c>
      <c r="D6" s="504" t="s">
        <v>2003</v>
      </c>
      <c r="E6" s="504" t="s">
        <v>39</v>
      </c>
      <c r="F6" s="512" t="s">
        <v>2001</v>
      </c>
      <c r="G6" s="513" t="str">
        <f>'SO 600 VO - rozpočet'!J6</f>
        <v>Grepl</v>
      </c>
    </row>
    <row r="7" spans="1:7" ht="15" customHeight="1">
      <c r="A7" s="503"/>
      <c r="B7" s="504"/>
      <c r="C7" s="504"/>
      <c r="D7" s="504"/>
      <c r="E7" s="504"/>
      <c r="F7" s="504"/>
      <c r="G7" s="510"/>
    </row>
    <row r="8" spans="1:7" ht="15" customHeight="1">
      <c r="A8" s="511" t="s">
        <v>2006</v>
      </c>
      <c r="B8" s="504"/>
      <c r="C8" s="512" t="str">
        <f>'SO 600 VO - rozpočet'!J8</f>
        <v> </v>
      </c>
      <c r="D8" s="504" t="s">
        <v>2045</v>
      </c>
      <c r="E8" s="504" t="s">
        <v>2044</v>
      </c>
      <c r="F8" s="504" t="s">
        <v>2045</v>
      </c>
      <c r="G8" s="513" t="str">
        <f>'SO 600 VO - rozpočet'!H8</f>
        <v>19.05.2021</v>
      </c>
    </row>
    <row r="9" spans="1:7" ht="15" customHeight="1" thickBot="1">
      <c r="A9" s="503"/>
      <c r="B9" s="504"/>
      <c r="C9" s="504"/>
      <c r="D9" s="504"/>
      <c r="E9" s="504"/>
      <c r="F9" s="504"/>
      <c r="G9" s="510"/>
    </row>
    <row r="10" spans="1:7" ht="15" customHeight="1" thickBot="1">
      <c r="A10" s="305" t="s">
        <v>1931</v>
      </c>
      <c r="B10" s="306" t="s">
        <v>57</v>
      </c>
      <c r="C10" s="307" t="s">
        <v>2046</v>
      </c>
      <c r="D10" s="308" t="s">
        <v>2047</v>
      </c>
      <c r="E10" s="308" t="s">
        <v>2048</v>
      </c>
      <c r="F10" s="308" t="s">
        <v>2049</v>
      </c>
      <c r="G10" s="309" t="s">
        <v>2050</v>
      </c>
    </row>
    <row r="11" spans="1:9" ht="15" customHeight="1">
      <c r="A11" s="286" t="s">
        <v>2051</v>
      </c>
      <c r="B11" s="287" t="s">
        <v>19</v>
      </c>
      <c r="C11" s="287" t="s">
        <v>2052</v>
      </c>
      <c r="D11" s="310">
        <f>'SO 600 VO - rozpočet'!I12</f>
        <v>0</v>
      </c>
      <c r="E11" s="310">
        <f>'SO 600 VO - rozpočet'!J12</f>
        <v>0</v>
      </c>
      <c r="F11" s="310">
        <f>'SO 600 VO - rozpočet'!K12</f>
        <v>0</v>
      </c>
      <c r="G11" s="311">
        <f>'SO 600 VO - rozpočet'!M12</f>
        <v>5.634399999999999</v>
      </c>
      <c r="H11" s="310"/>
      <c r="I11" s="310">
        <f aca="true" t="shared" si="0" ref="I11:I21">IF(H11="F",0,F11)</f>
        <v>0</v>
      </c>
    </row>
    <row r="12" spans="1:9" ht="15" customHeight="1">
      <c r="A12" s="286" t="s">
        <v>2051</v>
      </c>
      <c r="B12" s="287" t="s">
        <v>2053</v>
      </c>
      <c r="C12" s="287" t="s">
        <v>2054</v>
      </c>
      <c r="D12" s="310">
        <f>'SO 600 VO - rozpočet'!I13</f>
        <v>0</v>
      </c>
      <c r="E12" s="310">
        <f>'SO 600 VO - rozpočet'!J13</f>
        <v>0</v>
      </c>
      <c r="F12" s="310">
        <f>'SO 600 VO - rozpočet'!K13</f>
        <v>0</v>
      </c>
      <c r="G12" s="311">
        <f>'SO 600 VO - rozpočet'!M13</f>
        <v>3.3324</v>
      </c>
      <c r="H12" s="310"/>
      <c r="I12" s="310">
        <f t="shared" si="0"/>
        <v>0</v>
      </c>
    </row>
    <row r="13" spans="1:9" ht="15" customHeight="1">
      <c r="A13" s="286" t="s">
        <v>2051</v>
      </c>
      <c r="B13" s="287" t="s">
        <v>19</v>
      </c>
      <c r="C13" s="287" t="s">
        <v>2023</v>
      </c>
      <c r="D13" s="310">
        <f>'SO 600 VO - rozpočet'!I20</f>
        <v>0</v>
      </c>
      <c r="E13" s="310">
        <f>'SO 600 VO - rozpočet'!J20</f>
        <v>0</v>
      </c>
      <c r="F13" s="310">
        <f>'SO 600 VO - rozpočet'!K20</f>
        <v>0</v>
      </c>
      <c r="G13" s="311">
        <f>'SO 600 VO - rozpočet'!M20</f>
        <v>2.302</v>
      </c>
      <c r="H13" s="310"/>
      <c r="I13" s="310">
        <f t="shared" si="0"/>
        <v>0</v>
      </c>
    </row>
    <row r="14" spans="1:9" ht="15" customHeight="1">
      <c r="A14" s="286" t="s">
        <v>2055</v>
      </c>
      <c r="B14" s="287" t="s">
        <v>19</v>
      </c>
      <c r="C14" s="287" t="s">
        <v>2056</v>
      </c>
      <c r="D14" s="310">
        <f>'SO 600 VO - rozpočet'!I27</f>
        <v>0</v>
      </c>
      <c r="E14" s="310">
        <f>'SO 600 VO - rozpočet'!J27</f>
        <v>0</v>
      </c>
      <c r="F14" s="310">
        <f>'SO 600 VO - rozpočet'!K27</f>
        <v>0</v>
      </c>
      <c r="G14" s="311">
        <f>'SO 600 VO - rozpočet'!M27</f>
        <v>0</v>
      </c>
      <c r="H14" s="310">
        <v>0</v>
      </c>
      <c r="I14" s="310">
        <f t="shared" si="0"/>
        <v>0</v>
      </c>
    </row>
    <row r="15" spans="1:9" ht="15" customHeight="1">
      <c r="A15" s="286" t="s">
        <v>2055</v>
      </c>
      <c r="B15" s="287" t="s">
        <v>2057</v>
      </c>
      <c r="C15" s="287" t="s">
        <v>2058</v>
      </c>
      <c r="D15" s="310">
        <f>'SO 600 VO - rozpočet'!I28</f>
        <v>0</v>
      </c>
      <c r="E15" s="310">
        <f>'SO 600 VO - rozpočet'!J28</f>
        <v>0</v>
      </c>
      <c r="F15" s="310">
        <f>'SO 600 VO - rozpočet'!K28</f>
        <v>0</v>
      </c>
      <c r="G15" s="311">
        <f>'SO 600 VO - rozpočet'!M28</f>
        <v>0</v>
      </c>
      <c r="H15" s="310">
        <v>0</v>
      </c>
      <c r="I15" s="310">
        <f t="shared" si="0"/>
        <v>0</v>
      </c>
    </row>
    <row r="16" spans="1:9" ht="15" customHeight="1">
      <c r="A16" s="286" t="s">
        <v>2059</v>
      </c>
      <c r="B16" s="287" t="s">
        <v>19</v>
      </c>
      <c r="C16" s="287" t="s">
        <v>2060</v>
      </c>
      <c r="D16" s="310">
        <f>'SO 600 VO - rozpočet'!I30</f>
        <v>0</v>
      </c>
      <c r="E16" s="310">
        <f>'SO 600 VO - rozpočet'!J30</f>
        <v>0</v>
      </c>
      <c r="F16" s="310">
        <f>'SO 600 VO - rozpočet'!K30</f>
        <v>0</v>
      </c>
      <c r="G16" s="311">
        <f>'SO 600 VO - rozpočet'!M30</f>
        <v>1.71613</v>
      </c>
      <c r="H16" s="310">
        <v>0</v>
      </c>
      <c r="I16" s="310">
        <f t="shared" si="0"/>
        <v>0</v>
      </c>
    </row>
    <row r="17" spans="1:9" ht="15" customHeight="1">
      <c r="A17" s="286" t="s">
        <v>2059</v>
      </c>
      <c r="B17" s="287" t="s">
        <v>768</v>
      </c>
      <c r="C17" s="287" t="s">
        <v>2061</v>
      </c>
      <c r="D17" s="310">
        <f>'SO 600 VO - rozpočet'!I31</f>
        <v>0</v>
      </c>
      <c r="E17" s="310">
        <f>'SO 600 VO - rozpočet'!J31</f>
        <v>0</v>
      </c>
      <c r="F17" s="310">
        <f>'SO 600 VO - rozpočet'!K31</f>
        <v>0</v>
      </c>
      <c r="G17" s="311">
        <f>'SO 600 VO - rozpočet'!M31</f>
        <v>0</v>
      </c>
      <c r="H17" s="310">
        <v>0</v>
      </c>
      <c r="I17" s="310">
        <f t="shared" si="0"/>
        <v>0</v>
      </c>
    </row>
    <row r="18" spans="1:9" ht="15" customHeight="1">
      <c r="A18" s="286" t="s">
        <v>2059</v>
      </c>
      <c r="B18" s="287" t="s">
        <v>2059</v>
      </c>
      <c r="C18" s="287" t="s">
        <v>2060</v>
      </c>
      <c r="D18" s="310">
        <f>'SO 600 VO - rozpočet'!I36</f>
        <v>0</v>
      </c>
      <c r="E18" s="310">
        <f>'SO 600 VO - rozpočet'!J36</f>
        <v>0</v>
      </c>
      <c r="F18" s="310">
        <f>'SO 600 VO - rozpočet'!K36</f>
        <v>0</v>
      </c>
      <c r="G18" s="311">
        <f>'SO 600 VO - rozpočet'!M36</f>
        <v>0</v>
      </c>
      <c r="H18" s="310">
        <v>0</v>
      </c>
      <c r="I18" s="310">
        <f t="shared" si="0"/>
        <v>0</v>
      </c>
    </row>
    <row r="19" spans="1:9" ht="15" customHeight="1">
      <c r="A19" s="286" t="s">
        <v>2059</v>
      </c>
      <c r="B19" s="287" t="s">
        <v>19</v>
      </c>
      <c r="C19" s="287" t="s">
        <v>2023</v>
      </c>
      <c r="D19" s="310">
        <f>'SO 600 VO - rozpočet'!I52</f>
        <v>0</v>
      </c>
      <c r="E19" s="310">
        <f>'SO 600 VO - rozpočet'!J52</f>
        <v>0</v>
      </c>
      <c r="F19" s="310">
        <f>'SO 600 VO - rozpočet'!K52</f>
        <v>0</v>
      </c>
      <c r="G19" s="311">
        <f>'SO 600 VO - rozpočet'!M52</f>
        <v>1.71613</v>
      </c>
      <c r="H19" s="310">
        <v>0</v>
      </c>
      <c r="I19" s="310">
        <f t="shared" si="0"/>
        <v>0</v>
      </c>
    </row>
    <row r="20" spans="1:9" ht="15" customHeight="1">
      <c r="A20" s="286" t="s">
        <v>2057</v>
      </c>
      <c r="B20" s="287" t="s">
        <v>19</v>
      </c>
      <c r="C20" s="287" t="s">
        <v>2062</v>
      </c>
      <c r="D20" s="310">
        <f>'SO 600 VO - rozpočet'!I67</f>
        <v>0</v>
      </c>
      <c r="E20" s="310">
        <f>'SO 600 VO - rozpočet'!J67</f>
        <v>0</v>
      </c>
      <c r="F20" s="310">
        <f>'SO 600 VO - rozpočet'!K67</f>
        <v>0</v>
      </c>
      <c r="G20" s="311">
        <f>'SO 600 VO - rozpočet'!M67</f>
        <v>2.08864</v>
      </c>
      <c r="H20" s="310"/>
      <c r="I20" s="310">
        <f t="shared" si="0"/>
        <v>0</v>
      </c>
    </row>
    <row r="21" spans="1:9" ht="15" customHeight="1">
      <c r="A21" s="289" t="s">
        <v>2057</v>
      </c>
      <c r="B21" s="290" t="s">
        <v>2057</v>
      </c>
      <c r="C21" s="290" t="s">
        <v>2058</v>
      </c>
      <c r="D21" s="312">
        <f>'SO 600 VO - rozpočet'!I68</f>
        <v>0</v>
      </c>
      <c r="E21" s="312">
        <f>'SO 600 VO - rozpočet'!J68</f>
        <v>0</v>
      </c>
      <c r="F21" s="312">
        <f>'SO 600 VO - rozpočet'!K68</f>
        <v>0</v>
      </c>
      <c r="G21" s="313">
        <f>'SO 600 VO - rozpočet'!M68</f>
        <v>2.08864</v>
      </c>
      <c r="H21" s="310">
        <v>0</v>
      </c>
      <c r="I21" s="310">
        <f t="shared" si="0"/>
        <v>0</v>
      </c>
    </row>
    <row r="22" spans="5:8" ht="15" customHeight="1">
      <c r="E22" s="288" t="s">
        <v>2063</v>
      </c>
      <c r="F22" s="314">
        <f>SUM(I11:I21)</f>
        <v>0</v>
      </c>
      <c r="H22" s="285">
        <v>0</v>
      </c>
    </row>
    <row r="23" ht="15" customHeight="1">
      <c r="H23" s="285">
        <v>0</v>
      </c>
    </row>
    <row r="24" ht="15" customHeight="1">
      <c r="H24" s="285">
        <v>0</v>
      </c>
    </row>
    <row r="25" ht="15" customHeight="1">
      <c r="H25" s="285">
        <v>0</v>
      </c>
    </row>
    <row r="26" ht="15" customHeight="1">
      <c r="H26" s="285">
        <v>0</v>
      </c>
    </row>
    <row r="29" ht="15" customHeight="1">
      <c r="H29" s="285">
        <v>0</v>
      </c>
    </row>
    <row r="32" ht="15" customHeight="1">
      <c r="H32" s="285">
        <v>0</v>
      </c>
    </row>
  </sheetData>
  <sheetProtection algorithmName="SHA-512" hashValue="zbVxrrvHEqJgC/uM4J9fgAbAggHWqNn+uRBpaAaeuFsjEfWDQ/Y0n2TuTtgrKh8p3zLlHo+olTr63Xngrn/Xsw==" saltValue="uEIFkDS4JtK5/NMrowLVLg==" spinCount="100000" sheet="1"/>
  <mergeCells count="25"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0"/>
  <sheetViews>
    <sheetView showOutlineSymbols="0" workbookViewId="0" topLeftCell="A1">
      <pane ySplit="11" topLeftCell="A39" activePane="bottomLeft" state="frozen"/>
      <selection pane="topLeft" activeCell="G33" sqref="G33:I33"/>
      <selection pane="bottomLeft" activeCell="H54" sqref="H54"/>
    </sheetView>
  </sheetViews>
  <sheetFormatPr defaultColWidth="14.140625" defaultRowHeight="15" customHeight="1"/>
  <cols>
    <col min="1" max="1" width="4.7109375" style="285" customWidth="1"/>
    <col min="2" max="2" width="8.8515625" style="285" customWidth="1"/>
    <col min="3" max="3" width="20.8515625" style="285" customWidth="1"/>
    <col min="4" max="4" width="1.7109375" style="285" customWidth="1"/>
    <col min="5" max="5" width="63.7109375" style="285" customWidth="1"/>
    <col min="6" max="6" width="5.00390625" style="285" customWidth="1"/>
    <col min="7" max="7" width="15.00390625" style="285" customWidth="1"/>
    <col min="8" max="8" width="14.00390625" style="285" customWidth="1"/>
    <col min="9" max="11" width="18.28125" style="285" customWidth="1"/>
    <col min="12" max="14" width="13.7109375" style="285" customWidth="1"/>
    <col min="15" max="24" width="14.140625" style="285" customWidth="1"/>
    <col min="25" max="64" width="14.140625" style="285" hidden="1" customWidth="1"/>
    <col min="65" max="256" width="14.140625" style="285" customWidth="1"/>
    <col min="257" max="257" width="4.7109375" style="285" customWidth="1"/>
    <col min="258" max="258" width="8.8515625" style="285" customWidth="1"/>
    <col min="259" max="259" width="20.8515625" style="285" customWidth="1"/>
    <col min="260" max="260" width="1.7109375" style="285" customWidth="1"/>
    <col min="261" max="261" width="63.7109375" style="285" customWidth="1"/>
    <col min="262" max="262" width="5.00390625" style="285" customWidth="1"/>
    <col min="263" max="263" width="15.00390625" style="285" customWidth="1"/>
    <col min="264" max="264" width="14.00390625" style="285" customWidth="1"/>
    <col min="265" max="267" width="18.28125" style="285" customWidth="1"/>
    <col min="268" max="270" width="13.7109375" style="285" customWidth="1"/>
    <col min="271" max="280" width="14.140625" style="285" customWidth="1"/>
    <col min="281" max="320" width="14.140625" style="285" hidden="1" customWidth="1"/>
    <col min="321" max="512" width="14.140625" style="285" customWidth="1"/>
    <col min="513" max="513" width="4.7109375" style="285" customWidth="1"/>
    <col min="514" max="514" width="8.8515625" style="285" customWidth="1"/>
    <col min="515" max="515" width="20.8515625" style="285" customWidth="1"/>
    <col min="516" max="516" width="1.7109375" style="285" customWidth="1"/>
    <col min="517" max="517" width="63.7109375" style="285" customWidth="1"/>
    <col min="518" max="518" width="5.00390625" style="285" customWidth="1"/>
    <col min="519" max="519" width="15.00390625" style="285" customWidth="1"/>
    <col min="520" max="520" width="14.00390625" style="285" customWidth="1"/>
    <col min="521" max="523" width="18.28125" style="285" customWidth="1"/>
    <col min="524" max="526" width="13.7109375" style="285" customWidth="1"/>
    <col min="527" max="536" width="14.140625" style="285" customWidth="1"/>
    <col min="537" max="576" width="14.140625" style="285" hidden="1" customWidth="1"/>
    <col min="577" max="768" width="14.140625" style="285" customWidth="1"/>
    <col min="769" max="769" width="4.7109375" style="285" customWidth="1"/>
    <col min="770" max="770" width="8.8515625" style="285" customWidth="1"/>
    <col min="771" max="771" width="20.8515625" style="285" customWidth="1"/>
    <col min="772" max="772" width="1.7109375" style="285" customWidth="1"/>
    <col min="773" max="773" width="63.7109375" style="285" customWidth="1"/>
    <col min="774" max="774" width="5.00390625" style="285" customWidth="1"/>
    <col min="775" max="775" width="15.00390625" style="285" customWidth="1"/>
    <col min="776" max="776" width="14.00390625" style="285" customWidth="1"/>
    <col min="777" max="779" width="18.28125" style="285" customWidth="1"/>
    <col min="780" max="782" width="13.7109375" style="285" customWidth="1"/>
    <col min="783" max="792" width="14.140625" style="285" customWidth="1"/>
    <col min="793" max="832" width="14.140625" style="285" hidden="1" customWidth="1"/>
    <col min="833" max="1024" width="14.140625" style="285" customWidth="1"/>
    <col min="1025" max="1025" width="4.7109375" style="285" customWidth="1"/>
    <col min="1026" max="1026" width="8.8515625" style="285" customWidth="1"/>
    <col min="1027" max="1027" width="20.8515625" style="285" customWidth="1"/>
    <col min="1028" max="1028" width="1.7109375" style="285" customWidth="1"/>
    <col min="1029" max="1029" width="63.7109375" style="285" customWidth="1"/>
    <col min="1030" max="1030" width="5.00390625" style="285" customWidth="1"/>
    <col min="1031" max="1031" width="15.00390625" style="285" customWidth="1"/>
    <col min="1032" max="1032" width="14.00390625" style="285" customWidth="1"/>
    <col min="1033" max="1035" width="18.28125" style="285" customWidth="1"/>
    <col min="1036" max="1038" width="13.7109375" style="285" customWidth="1"/>
    <col min="1039" max="1048" width="14.140625" style="285" customWidth="1"/>
    <col min="1049" max="1088" width="14.140625" style="285" hidden="1" customWidth="1"/>
    <col min="1089" max="1280" width="14.140625" style="285" customWidth="1"/>
    <col min="1281" max="1281" width="4.7109375" style="285" customWidth="1"/>
    <col min="1282" max="1282" width="8.8515625" style="285" customWidth="1"/>
    <col min="1283" max="1283" width="20.8515625" style="285" customWidth="1"/>
    <col min="1284" max="1284" width="1.7109375" style="285" customWidth="1"/>
    <col min="1285" max="1285" width="63.7109375" style="285" customWidth="1"/>
    <col min="1286" max="1286" width="5.00390625" style="285" customWidth="1"/>
    <col min="1287" max="1287" width="15.00390625" style="285" customWidth="1"/>
    <col min="1288" max="1288" width="14.00390625" style="285" customWidth="1"/>
    <col min="1289" max="1291" width="18.28125" style="285" customWidth="1"/>
    <col min="1292" max="1294" width="13.7109375" style="285" customWidth="1"/>
    <col min="1295" max="1304" width="14.140625" style="285" customWidth="1"/>
    <col min="1305" max="1344" width="14.140625" style="285" hidden="1" customWidth="1"/>
    <col min="1345" max="1536" width="14.140625" style="285" customWidth="1"/>
    <col min="1537" max="1537" width="4.7109375" style="285" customWidth="1"/>
    <col min="1538" max="1538" width="8.8515625" style="285" customWidth="1"/>
    <col min="1539" max="1539" width="20.8515625" style="285" customWidth="1"/>
    <col min="1540" max="1540" width="1.7109375" style="285" customWidth="1"/>
    <col min="1541" max="1541" width="63.7109375" style="285" customWidth="1"/>
    <col min="1542" max="1542" width="5.00390625" style="285" customWidth="1"/>
    <col min="1543" max="1543" width="15.00390625" style="285" customWidth="1"/>
    <col min="1544" max="1544" width="14.00390625" style="285" customWidth="1"/>
    <col min="1545" max="1547" width="18.28125" style="285" customWidth="1"/>
    <col min="1548" max="1550" width="13.7109375" style="285" customWidth="1"/>
    <col min="1551" max="1560" width="14.140625" style="285" customWidth="1"/>
    <col min="1561" max="1600" width="14.140625" style="285" hidden="1" customWidth="1"/>
    <col min="1601" max="1792" width="14.140625" style="285" customWidth="1"/>
    <col min="1793" max="1793" width="4.7109375" style="285" customWidth="1"/>
    <col min="1794" max="1794" width="8.8515625" style="285" customWidth="1"/>
    <col min="1795" max="1795" width="20.8515625" style="285" customWidth="1"/>
    <col min="1796" max="1796" width="1.7109375" style="285" customWidth="1"/>
    <col min="1797" max="1797" width="63.7109375" style="285" customWidth="1"/>
    <col min="1798" max="1798" width="5.00390625" style="285" customWidth="1"/>
    <col min="1799" max="1799" width="15.00390625" style="285" customWidth="1"/>
    <col min="1800" max="1800" width="14.00390625" style="285" customWidth="1"/>
    <col min="1801" max="1803" width="18.28125" style="285" customWidth="1"/>
    <col min="1804" max="1806" width="13.7109375" style="285" customWidth="1"/>
    <col min="1807" max="1816" width="14.140625" style="285" customWidth="1"/>
    <col min="1817" max="1856" width="14.140625" style="285" hidden="1" customWidth="1"/>
    <col min="1857" max="2048" width="14.140625" style="285" customWidth="1"/>
    <col min="2049" max="2049" width="4.7109375" style="285" customWidth="1"/>
    <col min="2050" max="2050" width="8.8515625" style="285" customWidth="1"/>
    <col min="2051" max="2051" width="20.8515625" style="285" customWidth="1"/>
    <col min="2052" max="2052" width="1.7109375" style="285" customWidth="1"/>
    <col min="2053" max="2053" width="63.7109375" style="285" customWidth="1"/>
    <col min="2054" max="2054" width="5.00390625" style="285" customWidth="1"/>
    <col min="2055" max="2055" width="15.00390625" style="285" customWidth="1"/>
    <col min="2056" max="2056" width="14.00390625" style="285" customWidth="1"/>
    <col min="2057" max="2059" width="18.28125" style="285" customWidth="1"/>
    <col min="2060" max="2062" width="13.7109375" style="285" customWidth="1"/>
    <col min="2063" max="2072" width="14.140625" style="285" customWidth="1"/>
    <col min="2073" max="2112" width="14.140625" style="285" hidden="1" customWidth="1"/>
    <col min="2113" max="2304" width="14.140625" style="285" customWidth="1"/>
    <col min="2305" max="2305" width="4.7109375" style="285" customWidth="1"/>
    <col min="2306" max="2306" width="8.8515625" style="285" customWidth="1"/>
    <col min="2307" max="2307" width="20.8515625" style="285" customWidth="1"/>
    <col min="2308" max="2308" width="1.7109375" style="285" customWidth="1"/>
    <col min="2309" max="2309" width="63.7109375" style="285" customWidth="1"/>
    <col min="2310" max="2310" width="5.00390625" style="285" customWidth="1"/>
    <col min="2311" max="2311" width="15.00390625" style="285" customWidth="1"/>
    <col min="2312" max="2312" width="14.00390625" style="285" customWidth="1"/>
    <col min="2313" max="2315" width="18.28125" style="285" customWidth="1"/>
    <col min="2316" max="2318" width="13.7109375" style="285" customWidth="1"/>
    <col min="2319" max="2328" width="14.140625" style="285" customWidth="1"/>
    <col min="2329" max="2368" width="14.140625" style="285" hidden="1" customWidth="1"/>
    <col min="2369" max="2560" width="14.140625" style="285" customWidth="1"/>
    <col min="2561" max="2561" width="4.7109375" style="285" customWidth="1"/>
    <col min="2562" max="2562" width="8.8515625" style="285" customWidth="1"/>
    <col min="2563" max="2563" width="20.8515625" style="285" customWidth="1"/>
    <col min="2564" max="2564" width="1.7109375" style="285" customWidth="1"/>
    <col min="2565" max="2565" width="63.7109375" style="285" customWidth="1"/>
    <col min="2566" max="2566" width="5.00390625" style="285" customWidth="1"/>
    <col min="2567" max="2567" width="15.00390625" style="285" customWidth="1"/>
    <col min="2568" max="2568" width="14.00390625" style="285" customWidth="1"/>
    <col min="2569" max="2571" width="18.28125" style="285" customWidth="1"/>
    <col min="2572" max="2574" width="13.7109375" style="285" customWidth="1"/>
    <col min="2575" max="2584" width="14.140625" style="285" customWidth="1"/>
    <col min="2585" max="2624" width="14.140625" style="285" hidden="1" customWidth="1"/>
    <col min="2625" max="2816" width="14.140625" style="285" customWidth="1"/>
    <col min="2817" max="2817" width="4.7109375" style="285" customWidth="1"/>
    <col min="2818" max="2818" width="8.8515625" style="285" customWidth="1"/>
    <col min="2819" max="2819" width="20.8515625" style="285" customWidth="1"/>
    <col min="2820" max="2820" width="1.7109375" style="285" customWidth="1"/>
    <col min="2821" max="2821" width="63.7109375" style="285" customWidth="1"/>
    <col min="2822" max="2822" width="5.00390625" style="285" customWidth="1"/>
    <col min="2823" max="2823" width="15.00390625" style="285" customWidth="1"/>
    <col min="2824" max="2824" width="14.00390625" style="285" customWidth="1"/>
    <col min="2825" max="2827" width="18.28125" style="285" customWidth="1"/>
    <col min="2828" max="2830" width="13.7109375" style="285" customWidth="1"/>
    <col min="2831" max="2840" width="14.140625" style="285" customWidth="1"/>
    <col min="2841" max="2880" width="14.140625" style="285" hidden="1" customWidth="1"/>
    <col min="2881" max="3072" width="14.140625" style="285" customWidth="1"/>
    <col min="3073" max="3073" width="4.7109375" style="285" customWidth="1"/>
    <col min="3074" max="3074" width="8.8515625" style="285" customWidth="1"/>
    <col min="3075" max="3075" width="20.8515625" style="285" customWidth="1"/>
    <col min="3076" max="3076" width="1.7109375" style="285" customWidth="1"/>
    <col min="3077" max="3077" width="63.7109375" style="285" customWidth="1"/>
    <col min="3078" max="3078" width="5.00390625" style="285" customWidth="1"/>
    <col min="3079" max="3079" width="15.00390625" style="285" customWidth="1"/>
    <col min="3080" max="3080" width="14.00390625" style="285" customWidth="1"/>
    <col min="3081" max="3083" width="18.28125" style="285" customWidth="1"/>
    <col min="3084" max="3086" width="13.7109375" style="285" customWidth="1"/>
    <col min="3087" max="3096" width="14.140625" style="285" customWidth="1"/>
    <col min="3097" max="3136" width="14.140625" style="285" hidden="1" customWidth="1"/>
    <col min="3137" max="3328" width="14.140625" style="285" customWidth="1"/>
    <col min="3329" max="3329" width="4.7109375" style="285" customWidth="1"/>
    <col min="3330" max="3330" width="8.8515625" style="285" customWidth="1"/>
    <col min="3331" max="3331" width="20.8515625" style="285" customWidth="1"/>
    <col min="3332" max="3332" width="1.7109375" style="285" customWidth="1"/>
    <col min="3333" max="3333" width="63.7109375" style="285" customWidth="1"/>
    <col min="3334" max="3334" width="5.00390625" style="285" customWidth="1"/>
    <col min="3335" max="3335" width="15.00390625" style="285" customWidth="1"/>
    <col min="3336" max="3336" width="14.00390625" style="285" customWidth="1"/>
    <col min="3337" max="3339" width="18.28125" style="285" customWidth="1"/>
    <col min="3340" max="3342" width="13.7109375" style="285" customWidth="1"/>
    <col min="3343" max="3352" width="14.140625" style="285" customWidth="1"/>
    <col min="3353" max="3392" width="14.140625" style="285" hidden="1" customWidth="1"/>
    <col min="3393" max="3584" width="14.140625" style="285" customWidth="1"/>
    <col min="3585" max="3585" width="4.7109375" style="285" customWidth="1"/>
    <col min="3586" max="3586" width="8.8515625" style="285" customWidth="1"/>
    <col min="3587" max="3587" width="20.8515625" style="285" customWidth="1"/>
    <col min="3588" max="3588" width="1.7109375" style="285" customWidth="1"/>
    <col min="3589" max="3589" width="63.7109375" style="285" customWidth="1"/>
    <col min="3590" max="3590" width="5.00390625" style="285" customWidth="1"/>
    <col min="3591" max="3591" width="15.00390625" style="285" customWidth="1"/>
    <col min="3592" max="3592" width="14.00390625" style="285" customWidth="1"/>
    <col min="3593" max="3595" width="18.28125" style="285" customWidth="1"/>
    <col min="3596" max="3598" width="13.7109375" style="285" customWidth="1"/>
    <col min="3599" max="3608" width="14.140625" style="285" customWidth="1"/>
    <col min="3609" max="3648" width="14.140625" style="285" hidden="1" customWidth="1"/>
    <col min="3649" max="3840" width="14.140625" style="285" customWidth="1"/>
    <col min="3841" max="3841" width="4.7109375" style="285" customWidth="1"/>
    <col min="3842" max="3842" width="8.8515625" style="285" customWidth="1"/>
    <col min="3843" max="3843" width="20.8515625" style="285" customWidth="1"/>
    <col min="3844" max="3844" width="1.7109375" style="285" customWidth="1"/>
    <col min="3845" max="3845" width="63.7109375" style="285" customWidth="1"/>
    <col min="3846" max="3846" width="5.00390625" style="285" customWidth="1"/>
    <col min="3847" max="3847" width="15.00390625" style="285" customWidth="1"/>
    <col min="3848" max="3848" width="14.00390625" style="285" customWidth="1"/>
    <col min="3849" max="3851" width="18.28125" style="285" customWidth="1"/>
    <col min="3852" max="3854" width="13.7109375" style="285" customWidth="1"/>
    <col min="3855" max="3864" width="14.140625" style="285" customWidth="1"/>
    <col min="3865" max="3904" width="14.140625" style="285" hidden="1" customWidth="1"/>
    <col min="3905" max="4096" width="14.140625" style="285" customWidth="1"/>
    <col min="4097" max="4097" width="4.7109375" style="285" customWidth="1"/>
    <col min="4098" max="4098" width="8.8515625" style="285" customWidth="1"/>
    <col min="4099" max="4099" width="20.8515625" style="285" customWidth="1"/>
    <col min="4100" max="4100" width="1.7109375" style="285" customWidth="1"/>
    <col min="4101" max="4101" width="63.7109375" style="285" customWidth="1"/>
    <col min="4102" max="4102" width="5.00390625" style="285" customWidth="1"/>
    <col min="4103" max="4103" width="15.00390625" style="285" customWidth="1"/>
    <col min="4104" max="4104" width="14.00390625" style="285" customWidth="1"/>
    <col min="4105" max="4107" width="18.28125" style="285" customWidth="1"/>
    <col min="4108" max="4110" width="13.7109375" style="285" customWidth="1"/>
    <col min="4111" max="4120" width="14.140625" style="285" customWidth="1"/>
    <col min="4121" max="4160" width="14.140625" style="285" hidden="1" customWidth="1"/>
    <col min="4161" max="4352" width="14.140625" style="285" customWidth="1"/>
    <col min="4353" max="4353" width="4.7109375" style="285" customWidth="1"/>
    <col min="4354" max="4354" width="8.8515625" style="285" customWidth="1"/>
    <col min="4355" max="4355" width="20.8515625" style="285" customWidth="1"/>
    <col min="4356" max="4356" width="1.7109375" style="285" customWidth="1"/>
    <col min="4357" max="4357" width="63.7109375" style="285" customWidth="1"/>
    <col min="4358" max="4358" width="5.00390625" style="285" customWidth="1"/>
    <col min="4359" max="4359" width="15.00390625" style="285" customWidth="1"/>
    <col min="4360" max="4360" width="14.00390625" style="285" customWidth="1"/>
    <col min="4361" max="4363" width="18.28125" style="285" customWidth="1"/>
    <col min="4364" max="4366" width="13.7109375" style="285" customWidth="1"/>
    <col min="4367" max="4376" width="14.140625" style="285" customWidth="1"/>
    <col min="4377" max="4416" width="14.140625" style="285" hidden="1" customWidth="1"/>
    <col min="4417" max="4608" width="14.140625" style="285" customWidth="1"/>
    <col min="4609" max="4609" width="4.7109375" style="285" customWidth="1"/>
    <col min="4610" max="4610" width="8.8515625" style="285" customWidth="1"/>
    <col min="4611" max="4611" width="20.8515625" style="285" customWidth="1"/>
    <col min="4612" max="4612" width="1.7109375" style="285" customWidth="1"/>
    <col min="4613" max="4613" width="63.7109375" style="285" customWidth="1"/>
    <col min="4614" max="4614" width="5.00390625" style="285" customWidth="1"/>
    <col min="4615" max="4615" width="15.00390625" style="285" customWidth="1"/>
    <col min="4616" max="4616" width="14.00390625" style="285" customWidth="1"/>
    <col min="4617" max="4619" width="18.28125" style="285" customWidth="1"/>
    <col min="4620" max="4622" width="13.7109375" style="285" customWidth="1"/>
    <col min="4623" max="4632" width="14.140625" style="285" customWidth="1"/>
    <col min="4633" max="4672" width="14.140625" style="285" hidden="1" customWidth="1"/>
    <col min="4673" max="4864" width="14.140625" style="285" customWidth="1"/>
    <col min="4865" max="4865" width="4.7109375" style="285" customWidth="1"/>
    <col min="4866" max="4866" width="8.8515625" style="285" customWidth="1"/>
    <col min="4867" max="4867" width="20.8515625" style="285" customWidth="1"/>
    <col min="4868" max="4868" width="1.7109375" style="285" customWidth="1"/>
    <col min="4869" max="4869" width="63.7109375" style="285" customWidth="1"/>
    <col min="4870" max="4870" width="5.00390625" style="285" customWidth="1"/>
    <col min="4871" max="4871" width="15.00390625" style="285" customWidth="1"/>
    <col min="4872" max="4872" width="14.00390625" style="285" customWidth="1"/>
    <col min="4873" max="4875" width="18.28125" style="285" customWidth="1"/>
    <col min="4876" max="4878" width="13.7109375" style="285" customWidth="1"/>
    <col min="4879" max="4888" width="14.140625" style="285" customWidth="1"/>
    <col min="4889" max="4928" width="14.140625" style="285" hidden="1" customWidth="1"/>
    <col min="4929" max="5120" width="14.140625" style="285" customWidth="1"/>
    <col min="5121" max="5121" width="4.7109375" style="285" customWidth="1"/>
    <col min="5122" max="5122" width="8.8515625" style="285" customWidth="1"/>
    <col min="5123" max="5123" width="20.8515625" style="285" customWidth="1"/>
    <col min="5124" max="5124" width="1.7109375" style="285" customWidth="1"/>
    <col min="5125" max="5125" width="63.7109375" style="285" customWidth="1"/>
    <col min="5126" max="5126" width="5.00390625" style="285" customWidth="1"/>
    <col min="5127" max="5127" width="15.00390625" style="285" customWidth="1"/>
    <col min="5128" max="5128" width="14.00390625" style="285" customWidth="1"/>
    <col min="5129" max="5131" width="18.28125" style="285" customWidth="1"/>
    <col min="5132" max="5134" width="13.7109375" style="285" customWidth="1"/>
    <col min="5135" max="5144" width="14.140625" style="285" customWidth="1"/>
    <col min="5145" max="5184" width="14.140625" style="285" hidden="1" customWidth="1"/>
    <col min="5185" max="5376" width="14.140625" style="285" customWidth="1"/>
    <col min="5377" max="5377" width="4.7109375" style="285" customWidth="1"/>
    <col min="5378" max="5378" width="8.8515625" style="285" customWidth="1"/>
    <col min="5379" max="5379" width="20.8515625" style="285" customWidth="1"/>
    <col min="5380" max="5380" width="1.7109375" style="285" customWidth="1"/>
    <col min="5381" max="5381" width="63.7109375" style="285" customWidth="1"/>
    <col min="5382" max="5382" width="5.00390625" style="285" customWidth="1"/>
    <col min="5383" max="5383" width="15.00390625" style="285" customWidth="1"/>
    <col min="5384" max="5384" width="14.00390625" style="285" customWidth="1"/>
    <col min="5385" max="5387" width="18.28125" style="285" customWidth="1"/>
    <col min="5388" max="5390" width="13.7109375" style="285" customWidth="1"/>
    <col min="5391" max="5400" width="14.140625" style="285" customWidth="1"/>
    <col min="5401" max="5440" width="14.140625" style="285" hidden="1" customWidth="1"/>
    <col min="5441" max="5632" width="14.140625" style="285" customWidth="1"/>
    <col min="5633" max="5633" width="4.7109375" style="285" customWidth="1"/>
    <col min="5634" max="5634" width="8.8515625" style="285" customWidth="1"/>
    <col min="5635" max="5635" width="20.8515625" style="285" customWidth="1"/>
    <col min="5636" max="5636" width="1.7109375" style="285" customWidth="1"/>
    <col min="5637" max="5637" width="63.7109375" style="285" customWidth="1"/>
    <col min="5638" max="5638" width="5.00390625" style="285" customWidth="1"/>
    <col min="5639" max="5639" width="15.00390625" style="285" customWidth="1"/>
    <col min="5640" max="5640" width="14.00390625" style="285" customWidth="1"/>
    <col min="5641" max="5643" width="18.28125" style="285" customWidth="1"/>
    <col min="5644" max="5646" width="13.7109375" style="285" customWidth="1"/>
    <col min="5647" max="5656" width="14.140625" style="285" customWidth="1"/>
    <col min="5657" max="5696" width="14.140625" style="285" hidden="1" customWidth="1"/>
    <col min="5697" max="5888" width="14.140625" style="285" customWidth="1"/>
    <col min="5889" max="5889" width="4.7109375" style="285" customWidth="1"/>
    <col min="5890" max="5890" width="8.8515625" style="285" customWidth="1"/>
    <col min="5891" max="5891" width="20.8515625" style="285" customWidth="1"/>
    <col min="5892" max="5892" width="1.7109375" style="285" customWidth="1"/>
    <col min="5893" max="5893" width="63.7109375" style="285" customWidth="1"/>
    <col min="5894" max="5894" width="5.00390625" style="285" customWidth="1"/>
    <col min="5895" max="5895" width="15.00390625" style="285" customWidth="1"/>
    <col min="5896" max="5896" width="14.00390625" style="285" customWidth="1"/>
    <col min="5897" max="5899" width="18.28125" style="285" customWidth="1"/>
    <col min="5900" max="5902" width="13.7109375" style="285" customWidth="1"/>
    <col min="5903" max="5912" width="14.140625" style="285" customWidth="1"/>
    <col min="5913" max="5952" width="14.140625" style="285" hidden="1" customWidth="1"/>
    <col min="5953" max="6144" width="14.140625" style="285" customWidth="1"/>
    <col min="6145" max="6145" width="4.7109375" style="285" customWidth="1"/>
    <col min="6146" max="6146" width="8.8515625" style="285" customWidth="1"/>
    <col min="6147" max="6147" width="20.8515625" style="285" customWidth="1"/>
    <col min="6148" max="6148" width="1.7109375" style="285" customWidth="1"/>
    <col min="6149" max="6149" width="63.7109375" style="285" customWidth="1"/>
    <col min="6150" max="6150" width="5.00390625" style="285" customWidth="1"/>
    <col min="6151" max="6151" width="15.00390625" style="285" customWidth="1"/>
    <col min="6152" max="6152" width="14.00390625" style="285" customWidth="1"/>
    <col min="6153" max="6155" width="18.28125" style="285" customWidth="1"/>
    <col min="6156" max="6158" width="13.7109375" style="285" customWidth="1"/>
    <col min="6159" max="6168" width="14.140625" style="285" customWidth="1"/>
    <col min="6169" max="6208" width="14.140625" style="285" hidden="1" customWidth="1"/>
    <col min="6209" max="6400" width="14.140625" style="285" customWidth="1"/>
    <col min="6401" max="6401" width="4.7109375" style="285" customWidth="1"/>
    <col min="6402" max="6402" width="8.8515625" style="285" customWidth="1"/>
    <col min="6403" max="6403" width="20.8515625" style="285" customWidth="1"/>
    <col min="6404" max="6404" width="1.7109375" style="285" customWidth="1"/>
    <col min="6405" max="6405" width="63.7109375" style="285" customWidth="1"/>
    <col min="6406" max="6406" width="5.00390625" style="285" customWidth="1"/>
    <col min="6407" max="6407" width="15.00390625" style="285" customWidth="1"/>
    <col min="6408" max="6408" width="14.00390625" style="285" customWidth="1"/>
    <col min="6409" max="6411" width="18.28125" style="285" customWidth="1"/>
    <col min="6412" max="6414" width="13.7109375" style="285" customWidth="1"/>
    <col min="6415" max="6424" width="14.140625" style="285" customWidth="1"/>
    <col min="6425" max="6464" width="14.140625" style="285" hidden="1" customWidth="1"/>
    <col min="6465" max="6656" width="14.140625" style="285" customWidth="1"/>
    <col min="6657" max="6657" width="4.7109375" style="285" customWidth="1"/>
    <col min="6658" max="6658" width="8.8515625" style="285" customWidth="1"/>
    <col min="6659" max="6659" width="20.8515625" style="285" customWidth="1"/>
    <col min="6660" max="6660" width="1.7109375" style="285" customWidth="1"/>
    <col min="6661" max="6661" width="63.7109375" style="285" customWidth="1"/>
    <col min="6662" max="6662" width="5.00390625" style="285" customWidth="1"/>
    <col min="6663" max="6663" width="15.00390625" style="285" customWidth="1"/>
    <col min="6664" max="6664" width="14.00390625" style="285" customWidth="1"/>
    <col min="6665" max="6667" width="18.28125" style="285" customWidth="1"/>
    <col min="6668" max="6670" width="13.7109375" style="285" customWidth="1"/>
    <col min="6671" max="6680" width="14.140625" style="285" customWidth="1"/>
    <col min="6681" max="6720" width="14.140625" style="285" hidden="1" customWidth="1"/>
    <col min="6721" max="6912" width="14.140625" style="285" customWidth="1"/>
    <col min="6913" max="6913" width="4.7109375" style="285" customWidth="1"/>
    <col min="6914" max="6914" width="8.8515625" style="285" customWidth="1"/>
    <col min="6915" max="6915" width="20.8515625" style="285" customWidth="1"/>
    <col min="6916" max="6916" width="1.7109375" style="285" customWidth="1"/>
    <col min="6917" max="6917" width="63.7109375" style="285" customWidth="1"/>
    <col min="6918" max="6918" width="5.00390625" style="285" customWidth="1"/>
    <col min="6919" max="6919" width="15.00390625" style="285" customWidth="1"/>
    <col min="6920" max="6920" width="14.00390625" style="285" customWidth="1"/>
    <col min="6921" max="6923" width="18.28125" style="285" customWidth="1"/>
    <col min="6924" max="6926" width="13.7109375" style="285" customWidth="1"/>
    <col min="6927" max="6936" width="14.140625" style="285" customWidth="1"/>
    <col min="6937" max="6976" width="14.140625" style="285" hidden="1" customWidth="1"/>
    <col min="6977" max="7168" width="14.140625" style="285" customWidth="1"/>
    <col min="7169" max="7169" width="4.7109375" style="285" customWidth="1"/>
    <col min="7170" max="7170" width="8.8515625" style="285" customWidth="1"/>
    <col min="7171" max="7171" width="20.8515625" style="285" customWidth="1"/>
    <col min="7172" max="7172" width="1.7109375" style="285" customWidth="1"/>
    <col min="7173" max="7173" width="63.7109375" style="285" customWidth="1"/>
    <col min="7174" max="7174" width="5.00390625" style="285" customWidth="1"/>
    <col min="7175" max="7175" width="15.00390625" style="285" customWidth="1"/>
    <col min="7176" max="7176" width="14.00390625" style="285" customWidth="1"/>
    <col min="7177" max="7179" width="18.28125" style="285" customWidth="1"/>
    <col min="7180" max="7182" width="13.7109375" style="285" customWidth="1"/>
    <col min="7183" max="7192" width="14.140625" style="285" customWidth="1"/>
    <col min="7193" max="7232" width="14.140625" style="285" hidden="1" customWidth="1"/>
    <col min="7233" max="7424" width="14.140625" style="285" customWidth="1"/>
    <col min="7425" max="7425" width="4.7109375" style="285" customWidth="1"/>
    <col min="7426" max="7426" width="8.8515625" style="285" customWidth="1"/>
    <col min="7427" max="7427" width="20.8515625" style="285" customWidth="1"/>
    <col min="7428" max="7428" width="1.7109375" style="285" customWidth="1"/>
    <col min="7429" max="7429" width="63.7109375" style="285" customWidth="1"/>
    <col min="7430" max="7430" width="5.00390625" style="285" customWidth="1"/>
    <col min="7431" max="7431" width="15.00390625" style="285" customWidth="1"/>
    <col min="7432" max="7432" width="14.00390625" style="285" customWidth="1"/>
    <col min="7433" max="7435" width="18.28125" style="285" customWidth="1"/>
    <col min="7436" max="7438" width="13.7109375" style="285" customWidth="1"/>
    <col min="7439" max="7448" width="14.140625" style="285" customWidth="1"/>
    <col min="7449" max="7488" width="14.140625" style="285" hidden="1" customWidth="1"/>
    <col min="7489" max="7680" width="14.140625" style="285" customWidth="1"/>
    <col min="7681" max="7681" width="4.7109375" style="285" customWidth="1"/>
    <col min="7682" max="7682" width="8.8515625" style="285" customWidth="1"/>
    <col min="7683" max="7683" width="20.8515625" style="285" customWidth="1"/>
    <col min="7684" max="7684" width="1.7109375" style="285" customWidth="1"/>
    <col min="7685" max="7685" width="63.7109375" style="285" customWidth="1"/>
    <col min="7686" max="7686" width="5.00390625" style="285" customWidth="1"/>
    <col min="7687" max="7687" width="15.00390625" style="285" customWidth="1"/>
    <col min="7688" max="7688" width="14.00390625" style="285" customWidth="1"/>
    <col min="7689" max="7691" width="18.28125" style="285" customWidth="1"/>
    <col min="7692" max="7694" width="13.7109375" style="285" customWidth="1"/>
    <col min="7695" max="7704" width="14.140625" style="285" customWidth="1"/>
    <col min="7705" max="7744" width="14.140625" style="285" hidden="1" customWidth="1"/>
    <col min="7745" max="7936" width="14.140625" style="285" customWidth="1"/>
    <col min="7937" max="7937" width="4.7109375" style="285" customWidth="1"/>
    <col min="7938" max="7938" width="8.8515625" style="285" customWidth="1"/>
    <col min="7939" max="7939" width="20.8515625" style="285" customWidth="1"/>
    <col min="7940" max="7940" width="1.7109375" style="285" customWidth="1"/>
    <col min="7941" max="7941" width="63.7109375" style="285" customWidth="1"/>
    <col min="7942" max="7942" width="5.00390625" style="285" customWidth="1"/>
    <col min="7943" max="7943" width="15.00390625" style="285" customWidth="1"/>
    <col min="7944" max="7944" width="14.00390625" style="285" customWidth="1"/>
    <col min="7945" max="7947" width="18.28125" style="285" customWidth="1"/>
    <col min="7948" max="7950" width="13.7109375" style="285" customWidth="1"/>
    <col min="7951" max="7960" width="14.140625" style="285" customWidth="1"/>
    <col min="7961" max="8000" width="14.140625" style="285" hidden="1" customWidth="1"/>
    <col min="8001" max="8192" width="14.140625" style="285" customWidth="1"/>
    <col min="8193" max="8193" width="4.7109375" style="285" customWidth="1"/>
    <col min="8194" max="8194" width="8.8515625" style="285" customWidth="1"/>
    <col min="8195" max="8195" width="20.8515625" style="285" customWidth="1"/>
    <col min="8196" max="8196" width="1.7109375" style="285" customWidth="1"/>
    <col min="8197" max="8197" width="63.7109375" style="285" customWidth="1"/>
    <col min="8198" max="8198" width="5.00390625" style="285" customWidth="1"/>
    <col min="8199" max="8199" width="15.00390625" style="285" customWidth="1"/>
    <col min="8200" max="8200" width="14.00390625" style="285" customWidth="1"/>
    <col min="8201" max="8203" width="18.28125" style="285" customWidth="1"/>
    <col min="8204" max="8206" width="13.7109375" style="285" customWidth="1"/>
    <col min="8207" max="8216" width="14.140625" style="285" customWidth="1"/>
    <col min="8217" max="8256" width="14.140625" style="285" hidden="1" customWidth="1"/>
    <col min="8257" max="8448" width="14.140625" style="285" customWidth="1"/>
    <col min="8449" max="8449" width="4.7109375" style="285" customWidth="1"/>
    <col min="8450" max="8450" width="8.8515625" style="285" customWidth="1"/>
    <col min="8451" max="8451" width="20.8515625" style="285" customWidth="1"/>
    <col min="8452" max="8452" width="1.7109375" style="285" customWidth="1"/>
    <col min="8453" max="8453" width="63.7109375" style="285" customWidth="1"/>
    <col min="8454" max="8454" width="5.00390625" style="285" customWidth="1"/>
    <col min="8455" max="8455" width="15.00390625" style="285" customWidth="1"/>
    <col min="8456" max="8456" width="14.00390625" style="285" customWidth="1"/>
    <col min="8457" max="8459" width="18.28125" style="285" customWidth="1"/>
    <col min="8460" max="8462" width="13.7109375" style="285" customWidth="1"/>
    <col min="8463" max="8472" width="14.140625" style="285" customWidth="1"/>
    <col min="8473" max="8512" width="14.140625" style="285" hidden="1" customWidth="1"/>
    <col min="8513" max="8704" width="14.140625" style="285" customWidth="1"/>
    <col min="8705" max="8705" width="4.7109375" style="285" customWidth="1"/>
    <col min="8706" max="8706" width="8.8515625" style="285" customWidth="1"/>
    <col min="8707" max="8707" width="20.8515625" style="285" customWidth="1"/>
    <col min="8708" max="8708" width="1.7109375" style="285" customWidth="1"/>
    <col min="8709" max="8709" width="63.7109375" style="285" customWidth="1"/>
    <col min="8710" max="8710" width="5.00390625" style="285" customWidth="1"/>
    <col min="8711" max="8711" width="15.00390625" style="285" customWidth="1"/>
    <col min="8712" max="8712" width="14.00390625" style="285" customWidth="1"/>
    <col min="8713" max="8715" width="18.28125" style="285" customWidth="1"/>
    <col min="8716" max="8718" width="13.7109375" style="285" customWidth="1"/>
    <col min="8719" max="8728" width="14.140625" style="285" customWidth="1"/>
    <col min="8729" max="8768" width="14.140625" style="285" hidden="1" customWidth="1"/>
    <col min="8769" max="8960" width="14.140625" style="285" customWidth="1"/>
    <col min="8961" max="8961" width="4.7109375" style="285" customWidth="1"/>
    <col min="8962" max="8962" width="8.8515625" style="285" customWidth="1"/>
    <col min="8963" max="8963" width="20.8515625" style="285" customWidth="1"/>
    <col min="8964" max="8964" width="1.7109375" style="285" customWidth="1"/>
    <col min="8965" max="8965" width="63.7109375" style="285" customWidth="1"/>
    <col min="8966" max="8966" width="5.00390625" style="285" customWidth="1"/>
    <col min="8967" max="8967" width="15.00390625" style="285" customWidth="1"/>
    <col min="8968" max="8968" width="14.00390625" style="285" customWidth="1"/>
    <col min="8969" max="8971" width="18.28125" style="285" customWidth="1"/>
    <col min="8972" max="8974" width="13.7109375" style="285" customWidth="1"/>
    <col min="8975" max="8984" width="14.140625" style="285" customWidth="1"/>
    <col min="8985" max="9024" width="14.140625" style="285" hidden="1" customWidth="1"/>
    <col min="9025" max="9216" width="14.140625" style="285" customWidth="1"/>
    <col min="9217" max="9217" width="4.7109375" style="285" customWidth="1"/>
    <col min="9218" max="9218" width="8.8515625" style="285" customWidth="1"/>
    <col min="9219" max="9219" width="20.8515625" style="285" customWidth="1"/>
    <col min="9220" max="9220" width="1.7109375" style="285" customWidth="1"/>
    <col min="9221" max="9221" width="63.7109375" style="285" customWidth="1"/>
    <col min="9222" max="9222" width="5.00390625" style="285" customWidth="1"/>
    <col min="9223" max="9223" width="15.00390625" style="285" customWidth="1"/>
    <col min="9224" max="9224" width="14.00390625" style="285" customWidth="1"/>
    <col min="9225" max="9227" width="18.28125" style="285" customWidth="1"/>
    <col min="9228" max="9230" width="13.7109375" style="285" customWidth="1"/>
    <col min="9231" max="9240" width="14.140625" style="285" customWidth="1"/>
    <col min="9241" max="9280" width="14.140625" style="285" hidden="1" customWidth="1"/>
    <col min="9281" max="9472" width="14.140625" style="285" customWidth="1"/>
    <col min="9473" max="9473" width="4.7109375" style="285" customWidth="1"/>
    <col min="9474" max="9474" width="8.8515625" style="285" customWidth="1"/>
    <col min="9475" max="9475" width="20.8515625" style="285" customWidth="1"/>
    <col min="9476" max="9476" width="1.7109375" style="285" customWidth="1"/>
    <col min="9477" max="9477" width="63.7109375" style="285" customWidth="1"/>
    <col min="9478" max="9478" width="5.00390625" style="285" customWidth="1"/>
    <col min="9479" max="9479" width="15.00390625" style="285" customWidth="1"/>
    <col min="9480" max="9480" width="14.00390625" style="285" customWidth="1"/>
    <col min="9481" max="9483" width="18.28125" style="285" customWidth="1"/>
    <col min="9484" max="9486" width="13.7109375" style="285" customWidth="1"/>
    <col min="9487" max="9496" width="14.140625" style="285" customWidth="1"/>
    <col min="9497" max="9536" width="14.140625" style="285" hidden="1" customWidth="1"/>
    <col min="9537" max="9728" width="14.140625" style="285" customWidth="1"/>
    <col min="9729" max="9729" width="4.7109375" style="285" customWidth="1"/>
    <col min="9730" max="9730" width="8.8515625" style="285" customWidth="1"/>
    <col min="9731" max="9731" width="20.8515625" style="285" customWidth="1"/>
    <col min="9732" max="9732" width="1.7109375" style="285" customWidth="1"/>
    <col min="9733" max="9733" width="63.7109375" style="285" customWidth="1"/>
    <col min="9734" max="9734" width="5.00390625" style="285" customWidth="1"/>
    <col min="9735" max="9735" width="15.00390625" style="285" customWidth="1"/>
    <col min="9736" max="9736" width="14.00390625" style="285" customWidth="1"/>
    <col min="9737" max="9739" width="18.28125" style="285" customWidth="1"/>
    <col min="9740" max="9742" width="13.7109375" style="285" customWidth="1"/>
    <col min="9743" max="9752" width="14.140625" style="285" customWidth="1"/>
    <col min="9753" max="9792" width="14.140625" style="285" hidden="1" customWidth="1"/>
    <col min="9793" max="9984" width="14.140625" style="285" customWidth="1"/>
    <col min="9985" max="9985" width="4.7109375" style="285" customWidth="1"/>
    <col min="9986" max="9986" width="8.8515625" style="285" customWidth="1"/>
    <col min="9987" max="9987" width="20.8515625" style="285" customWidth="1"/>
    <col min="9988" max="9988" width="1.7109375" style="285" customWidth="1"/>
    <col min="9989" max="9989" width="63.7109375" style="285" customWidth="1"/>
    <col min="9990" max="9990" width="5.00390625" style="285" customWidth="1"/>
    <col min="9991" max="9991" width="15.00390625" style="285" customWidth="1"/>
    <col min="9992" max="9992" width="14.00390625" style="285" customWidth="1"/>
    <col min="9993" max="9995" width="18.28125" style="285" customWidth="1"/>
    <col min="9996" max="9998" width="13.7109375" style="285" customWidth="1"/>
    <col min="9999" max="10008" width="14.140625" style="285" customWidth="1"/>
    <col min="10009" max="10048" width="14.140625" style="285" hidden="1" customWidth="1"/>
    <col min="10049" max="10240" width="14.140625" style="285" customWidth="1"/>
    <col min="10241" max="10241" width="4.7109375" style="285" customWidth="1"/>
    <col min="10242" max="10242" width="8.8515625" style="285" customWidth="1"/>
    <col min="10243" max="10243" width="20.8515625" style="285" customWidth="1"/>
    <col min="10244" max="10244" width="1.7109375" style="285" customWidth="1"/>
    <col min="10245" max="10245" width="63.7109375" style="285" customWidth="1"/>
    <col min="10246" max="10246" width="5.00390625" style="285" customWidth="1"/>
    <col min="10247" max="10247" width="15.00390625" style="285" customWidth="1"/>
    <col min="10248" max="10248" width="14.00390625" style="285" customWidth="1"/>
    <col min="10249" max="10251" width="18.28125" style="285" customWidth="1"/>
    <col min="10252" max="10254" width="13.7109375" style="285" customWidth="1"/>
    <col min="10255" max="10264" width="14.140625" style="285" customWidth="1"/>
    <col min="10265" max="10304" width="14.140625" style="285" hidden="1" customWidth="1"/>
    <col min="10305" max="10496" width="14.140625" style="285" customWidth="1"/>
    <col min="10497" max="10497" width="4.7109375" style="285" customWidth="1"/>
    <col min="10498" max="10498" width="8.8515625" style="285" customWidth="1"/>
    <col min="10499" max="10499" width="20.8515625" style="285" customWidth="1"/>
    <col min="10500" max="10500" width="1.7109375" style="285" customWidth="1"/>
    <col min="10501" max="10501" width="63.7109375" style="285" customWidth="1"/>
    <col min="10502" max="10502" width="5.00390625" style="285" customWidth="1"/>
    <col min="10503" max="10503" width="15.00390625" style="285" customWidth="1"/>
    <col min="10504" max="10504" width="14.00390625" style="285" customWidth="1"/>
    <col min="10505" max="10507" width="18.28125" style="285" customWidth="1"/>
    <col min="10508" max="10510" width="13.7109375" style="285" customWidth="1"/>
    <col min="10511" max="10520" width="14.140625" style="285" customWidth="1"/>
    <col min="10521" max="10560" width="14.140625" style="285" hidden="1" customWidth="1"/>
    <col min="10561" max="10752" width="14.140625" style="285" customWidth="1"/>
    <col min="10753" max="10753" width="4.7109375" style="285" customWidth="1"/>
    <col min="10754" max="10754" width="8.8515625" style="285" customWidth="1"/>
    <col min="10755" max="10755" width="20.8515625" style="285" customWidth="1"/>
    <col min="10756" max="10756" width="1.7109375" style="285" customWidth="1"/>
    <col min="10757" max="10757" width="63.7109375" style="285" customWidth="1"/>
    <col min="10758" max="10758" width="5.00390625" style="285" customWidth="1"/>
    <col min="10759" max="10759" width="15.00390625" style="285" customWidth="1"/>
    <col min="10760" max="10760" width="14.00390625" style="285" customWidth="1"/>
    <col min="10761" max="10763" width="18.28125" style="285" customWidth="1"/>
    <col min="10764" max="10766" width="13.7109375" style="285" customWidth="1"/>
    <col min="10767" max="10776" width="14.140625" style="285" customWidth="1"/>
    <col min="10777" max="10816" width="14.140625" style="285" hidden="1" customWidth="1"/>
    <col min="10817" max="11008" width="14.140625" style="285" customWidth="1"/>
    <col min="11009" max="11009" width="4.7109375" style="285" customWidth="1"/>
    <col min="11010" max="11010" width="8.8515625" style="285" customWidth="1"/>
    <col min="11011" max="11011" width="20.8515625" style="285" customWidth="1"/>
    <col min="11012" max="11012" width="1.7109375" style="285" customWidth="1"/>
    <col min="11013" max="11013" width="63.7109375" style="285" customWidth="1"/>
    <col min="11014" max="11014" width="5.00390625" style="285" customWidth="1"/>
    <col min="11015" max="11015" width="15.00390625" style="285" customWidth="1"/>
    <col min="11016" max="11016" width="14.00390625" style="285" customWidth="1"/>
    <col min="11017" max="11019" width="18.28125" style="285" customWidth="1"/>
    <col min="11020" max="11022" width="13.7109375" style="285" customWidth="1"/>
    <col min="11023" max="11032" width="14.140625" style="285" customWidth="1"/>
    <col min="11033" max="11072" width="14.140625" style="285" hidden="1" customWidth="1"/>
    <col min="11073" max="11264" width="14.140625" style="285" customWidth="1"/>
    <col min="11265" max="11265" width="4.7109375" style="285" customWidth="1"/>
    <col min="11266" max="11266" width="8.8515625" style="285" customWidth="1"/>
    <col min="11267" max="11267" width="20.8515625" style="285" customWidth="1"/>
    <col min="11268" max="11268" width="1.7109375" style="285" customWidth="1"/>
    <col min="11269" max="11269" width="63.7109375" style="285" customWidth="1"/>
    <col min="11270" max="11270" width="5.00390625" style="285" customWidth="1"/>
    <col min="11271" max="11271" width="15.00390625" style="285" customWidth="1"/>
    <col min="11272" max="11272" width="14.00390625" style="285" customWidth="1"/>
    <col min="11273" max="11275" width="18.28125" style="285" customWidth="1"/>
    <col min="11276" max="11278" width="13.7109375" style="285" customWidth="1"/>
    <col min="11279" max="11288" width="14.140625" style="285" customWidth="1"/>
    <col min="11289" max="11328" width="14.140625" style="285" hidden="1" customWidth="1"/>
    <col min="11329" max="11520" width="14.140625" style="285" customWidth="1"/>
    <col min="11521" max="11521" width="4.7109375" style="285" customWidth="1"/>
    <col min="11522" max="11522" width="8.8515625" style="285" customWidth="1"/>
    <col min="11523" max="11523" width="20.8515625" style="285" customWidth="1"/>
    <col min="11524" max="11524" width="1.7109375" style="285" customWidth="1"/>
    <col min="11525" max="11525" width="63.7109375" style="285" customWidth="1"/>
    <col min="11526" max="11526" width="5.00390625" style="285" customWidth="1"/>
    <col min="11527" max="11527" width="15.00390625" style="285" customWidth="1"/>
    <col min="11528" max="11528" width="14.00390625" style="285" customWidth="1"/>
    <col min="11529" max="11531" width="18.28125" style="285" customWidth="1"/>
    <col min="11532" max="11534" width="13.7109375" style="285" customWidth="1"/>
    <col min="11535" max="11544" width="14.140625" style="285" customWidth="1"/>
    <col min="11545" max="11584" width="14.140625" style="285" hidden="1" customWidth="1"/>
    <col min="11585" max="11776" width="14.140625" style="285" customWidth="1"/>
    <col min="11777" max="11777" width="4.7109375" style="285" customWidth="1"/>
    <col min="11778" max="11778" width="8.8515625" style="285" customWidth="1"/>
    <col min="11779" max="11779" width="20.8515625" style="285" customWidth="1"/>
    <col min="11780" max="11780" width="1.7109375" style="285" customWidth="1"/>
    <col min="11781" max="11781" width="63.7109375" style="285" customWidth="1"/>
    <col min="11782" max="11782" width="5.00390625" style="285" customWidth="1"/>
    <col min="11783" max="11783" width="15.00390625" style="285" customWidth="1"/>
    <col min="11784" max="11784" width="14.00390625" style="285" customWidth="1"/>
    <col min="11785" max="11787" width="18.28125" style="285" customWidth="1"/>
    <col min="11788" max="11790" width="13.7109375" style="285" customWidth="1"/>
    <col min="11791" max="11800" width="14.140625" style="285" customWidth="1"/>
    <col min="11801" max="11840" width="14.140625" style="285" hidden="1" customWidth="1"/>
    <col min="11841" max="12032" width="14.140625" style="285" customWidth="1"/>
    <col min="12033" max="12033" width="4.7109375" style="285" customWidth="1"/>
    <col min="12034" max="12034" width="8.8515625" style="285" customWidth="1"/>
    <col min="12035" max="12035" width="20.8515625" style="285" customWidth="1"/>
    <col min="12036" max="12036" width="1.7109375" style="285" customWidth="1"/>
    <col min="12037" max="12037" width="63.7109375" style="285" customWidth="1"/>
    <col min="12038" max="12038" width="5.00390625" style="285" customWidth="1"/>
    <col min="12039" max="12039" width="15.00390625" style="285" customWidth="1"/>
    <col min="12040" max="12040" width="14.00390625" style="285" customWidth="1"/>
    <col min="12041" max="12043" width="18.28125" style="285" customWidth="1"/>
    <col min="12044" max="12046" width="13.7109375" style="285" customWidth="1"/>
    <col min="12047" max="12056" width="14.140625" style="285" customWidth="1"/>
    <col min="12057" max="12096" width="14.140625" style="285" hidden="1" customWidth="1"/>
    <col min="12097" max="12288" width="14.140625" style="285" customWidth="1"/>
    <col min="12289" max="12289" width="4.7109375" style="285" customWidth="1"/>
    <col min="12290" max="12290" width="8.8515625" style="285" customWidth="1"/>
    <col min="12291" max="12291" width="20.8515625" style="285" customWidth="1"/>
    <col min="12292" max="12292" width="1.7109375" style="285" customWidth="1"/>
    <col min="12293" max="12293" width="63.7109375" style="285" customWidth="1"/>
    <col min="12294" max="12294" width="5.00390625" style="285" customWidth="1"/>
    <col min="12295" max="12295" width="15.00390625" style="285" customWidth="1"/>
    <col min="12296" max="12296" width="14.00390625" style="285" customWidth="1"/>
    <col min="12297" max="12299" width="18.28125" style="285" customWidth="1"/>
    <col min="12300" max="12302" width="13.7109375" style="285" customWidth="1"/>
    <col min="12303" max="12312" width="14.140625" style="285" customWidth="1"/>
    <col min="12313" max="12352" width="14.140625" style="285" hidden="1" customWidth="1"/>
    <col min="12353" max="12544" width="14.140625" style="285" customWidth="1"/>
    <col min="12545" max="12545" width="4.7109375" style="285" customWidth="1"/>
    <col min="12546" max="12546" width="8.8515625" style="285" customWidth="1"/>
    <col min="12547" max="12547" width="20.8515625" style="285" customWidth="1"/>
    <col min="12548" max="12548" width="1.7109375" style="285" customWidth="1"/>
    <col min="12549" max="12549" width="63.7109375" style="285" customWidth="1"/>
    <col min="12550" max="12550" width="5.00390625" style="285" customWidth="1"/>
    <col min="12551" max="12551" width="15.00390625" style="285" customWidth="1"/>
    <col min="12552" max="12552" width="14.00390625" style="285" customWidth="1"/>
    <col min="12553" max="12555" width="18.28125" style="285" customWidth="1"/>
    <col min="12556" max="12558" width="13.7109375" style="285" customWidth="1"/>
    <col min="12559" max="12568" width="14.140625" style="285" customWidth="1"/>
    <col min="12569" max="12608" width="14.140625" style="285" hidden="1" customWidth="1"/>
    <col min="12609" max="12800" width="14.140625" style="285" customWidth="1"/>
    <col min="12801" max="12801" width="4.7109375" style="285" customWidth="1"/>
    <col min="12802" max="12802" width="8.8515625" style="285" customWidth="1"/>
    <col min="12803" max="12803" width="20.8515625" style="285" customWidth="1"/>
    <col min="12804" max="12804" width="1.7109375" style="285" customWidth="1"/>
    <col min="12805" max="12805" width="63.7109375" style="285" customWidth="1"/>
    <col min="12806" max="12806" width="5.00390625" style="285" customWidth="1"/>
    <col min="12807" max="12807" width="15.00390625" style="285" customWidth="1"/>
    <col min="12808" max="12808" width="14.00390625" style="285" customWidth="1"/>
    <col min="12809" max="12811" width="18.28125" style="285" customWidth="1"/>
    <col min="12812" max="12814" width="13.7109375" style="285" customWidth="1"/>
    <col min="12815" max="12824" width="14.140625" style="285" customWidth="1"/>
    <col min="12825" max="12864" width="14.140625" style="285" hidden="1" customWidth="1"/>
    <col min="12865" max="13056" width="14.140625" style="285" customWidth="1"/>
    <col min="13057" max="13057" width="4.7109375" style="285" customWidth="1"/>
    <col min="13058" max="13058" width="8.8515625" style="285" customWidth="1"/>
    <col min="13059" max="13059" width="20.8515625" style="285" customWidth="1"/>
    <col min="13060" max="13060" width="1.7109375" style="285" customWidth="1"/>
    <col min="13061" max="13061" width="63.7109375" style="285" customWidth="1"/>
    <col min="13062" max="13062" width="5.00390625" style="285" customWidth="1"/>
    <col min="13063" max="13063" width="15.00390625" style="285" customWidth="1"/>
    <col min="13064" max="13064" width="14.00390625" style="285" customWidth="1"/>
    <col min="13065" max="13067" width="18.28125" style="285" customWidth="1"/>
    <col min="13068" max="13070" width="13.7109375" style="285" customWidth="1"/>
    <col min="13071" max="13080" width="14.140625" style="285" customWidth="1"/>
    <col min="13081" max="13120" width="14.140625" style="285" hidden="1" customWidth="1"/>
    <col min="13121" max="13312" width="14.140625" style="285" customWidth="1"/>
    <col min="13313" max="13313" width="4.7109375" style="285" customWidth="1"/>
    <col min="13314" max="13314" width="8.8515625" style="285" customWidth="1"/>
    <col min="13315" max="13315" width="20.8515625" style="285" customWidth="1"/>
    <col min="13316" max="13316" width="1.7109375" style="285" customWidth="1"/>
    <col min="13317" max="13317" width="63.7109375" style="285" customWidth="1"/>
    <col min="13318" max="13318" width="5.00390625" style="285" customWidth="1"/>
    <col min="13319" max="13319" width="15.00390625" style="285" customWidth="1"/>
    <col min="13320" max="13320" width="14.00390625" style="285" customWidth="1"/>
    <col min="13321" max="13323" width="18.28125" style="285" customWidth="1"/>
    <col min="13324" max="13326" width="13.7109375" style="285" customWidth="1"/>
    <col min="13327" max="13336" width="14.140625" style="285" customWidth="1"/>
    <col min="13337" max="13376" width="14.140625" style="285" hidden="1" customWidth="1"/>
    <col min="13377" max="13568" width="14.140625" style="285" customWidth="1"/>
    <col min="13569" max="13569" width="4.7109375" style="285" customWidth="1"/>
    <col min="13570" max="13570" width="8.8515625" style="285" customWidth="1"/>
    <col min="13571" max="13571" width="20.8515625" style="285" customWidth="1"/>
    <col min="13572" max="13572" width="1.7109375" style="285" customWidth="1"/>
    <col min="13573" max="13573" width="63.7109375" style="285" customWidth="1"/>
    <col min="13574" max="13574" width="5.00390625" style="285" customWidth="1"/>
    <col min="13575" max="13575" width="15.00390625" style="285" customWidth="1"/>
    <col min="13576" max="13576" width="14.00390625" style="285" customWidth="1"/>
    <col min="13577" max="13579" width="18.28125" style="285" customWidth="1"/>
    <col min="13580" max="13582" width="13.7109375" style="285" customWidth="1"/>
    <col min="13583" max="13592" width="14.140625" style="285" customWidth="1"/>
    <col min="13593" max="13632" width="14.140625" style="285" hidden="1" customWidth="1"/>
    <col min="13633" max="13824" width="14.140625" style="285" customWidth="1"/>
    <col min="13825" max="13825" width="4.7109375" style="285" customWidth="1"/>
    <col min="13826" max="13826" width="8.8515625" style="285" customWidth="1"/>
    <col min="13827" max="13827" width="20.8515625" style="285" customWidth="1"/>
    <col min="13828" max="13828" width="1.7109375" style="285" customWidth="1"/>
    <col min="13829" max="13829" width="63.7109375" style="285" customWidth="1"/>
    <col min="13830" max="13830" width="5.00390625" style="285" customWidth="1"/>
    <col min="13831" max="13831" width="15.00390625" style="285" customWidth="1"/>
    <col min="13832" max="13832" width="14.00390625" style="285" customWidth="1"/>
    <col min="13833" max="13835" width="18.28125" style="285" customWidth="1"/>
    <col min="13836" max="13838" width="13.7109375" style="285" customWidth="1"/>
    <col min="13839" max="13848" width="14.140625" style="285" customWidth="1"/>
    <col min="13849" max="13888" width="14.140625" style="285" hidden="1" customWidth="1"/>
    <col min="13889" max="14080" width="14.140625" style="285" customWidth="1"/>
    <col min="14081" max="14081" width="4.7109375" style="285" customWidth="1"/>
    <col min="14082" max="14082" width="8.8515625" style="285" customWidth="1"/>
    <col min="14083" max="14083" width="20.8515625" style="285" customWidth="1"/>
    <col min="14084" max="14084" width="1.7109375" style="285" customWidth="1"/>
    <col min="14085" max="14085" width="63.7109375" style="285" customWidth="1"/>
    <col min="14086" max="14086" width="5.00390625" style="285" customWidth="1"/>
    <col min="14087" max="14087" width="15.00390625" style="285" customWidth="1"/>
    <col min="14088" max="14088" width="14.00390625" style="285" customWidth="1"/>
    <col min="14089" max="14091" width="18.28125" style="285" customWidth="1"/>
    <col min="14092" max="14094" width="13.7109375" style="285" customWidth="1"/>
    <col min="14095" max="14104" width="14.140625" style="285" customWidth="1"/>
    <col min="14105" max="14144" width="14.140625" style="285" hidden="1" customWidth="1"/>
    <col min="14145" max="14336" width="14.140625" style="285" customWidth="1"/>
    <col min="14337" max="14337" width="4.7109375" style="285" customWidth="1"/>
    <col min="14338" max="14338" width="8.8515625" style="285" customWidth="1"/>
    <col min="14339" max="14339" width="20.8515625" style="285" customWidth="1"/>
    <col min="14340" max="14340" width="1.7109375" style="285" customWidth="1"/>
    <col min="14341" max="14341" width="63.7109375" style="285" customWidth="1"/>
    <col min="14342" max="14342" width="5.00390625" style="285" customWidth="1"/>
    <col min="14343" max="14343" width="15.00390625" style="285" customWidth="1"/>
    <col min="14344" max="14344" width="14.00390625" style="285" customWidth="1"/>
    <col min="14345" max="14347" width="18.28125" style="285" customWidth="1"/>
    <col min="14348" max="14350" width="13.7109375" style="285" customWidth="1"/>
    <col min="14351" max="14360" width="14.140625" style="285" customWidth="1"/>
    <col min="14361" max="14400" width="14.140625" style="285" hidden="1" customWidth="1"/>
    <col min="14401" max="14592" width="14.140625" style="285" customWidth="1"/>
    <col min="14593" max="14593" width="4.7109375" style="285" customWidth="1"/>
    <col min="14594" max="14594" width="8.8515625" style="285" customWidth="1"/>
    <col min="14595" max="14595" width="20.8515625" style="285" customWidth="1"/>
    <col min="14596" max="14596" width="1.7109375" style="285" customWidth="1"/>
    <col min="14597" max="14597" width="63.7109375" style="285" customWidth="1"/>
    <col min="14598" max="14598" width="5.00390625" style="285" customWidth="1"/>
    <col min="14599" max="14599" width="15.00390625" style="285" customWidth="1"/>
    <col min="14600" max="14600" width="14.00390625" style="285" customWidth="1"/>
    <col min="14601" max="14603" width="18.28125" style="285" customWidth="1"/>
    <col min="14604" max="14606" width="13.7109375" style="285" customWidth="1"/>
    <col min="14607" max="14616" width="14.140625" style="285" customWidth="1"/>
    <col min="14617" max="14656" width="14.140625" style="285" hidden="1" customWidth="1"/>
    <col min="14657" max="14848" width="14.140625" style="285" customWidth="1"/>
    <col min="14849" max="14849" width="4.7109375" style="285" customWidth="1"/>
    <col min="14850" max="14850" width="8.8515625" style="285" customWidth="1"/>
    <col min="14851" max="14851" width="20.8515625" style="285" customWidth="1"/>
    <col min="14852" max="14852" width="1.7109375" style="285" customWidth="1"/>
    <col min="14853" max="14853" width="63.7109375" style="285" customWidth="1"/>
    <col min="14854" max="14854" width="5.00390625" style="285" customWidth="1"/>
    <col min="14855" max="14855" width="15.00390625" style="285" customWidth="1"/>
    <col min="14856" max="14856" width="14.00390625" style="285" customWidth="1"/>
    <col min="14857" max="14859" width="18.28125" style="285" customWidth="1"/>
    <col min="14860" max="14862" width="13.7109375" style="285" customWidth="1"/>
    <col min="14863" max="14872" width="14.140625" style="285" customWidth="1"/>
    <col min="14873" max="14912" width="14.140625" style="285" hidden="1" customWidth="1"/>
    <col min="14913" max="15104" width="14.140625" style="285" customWidth="1"/>
    <col min="15105" max="15105" width="4.7109375" style="285" customWidth="1"/>
    <col min="15106" max="15106" width="8.8515625" style="285" customWidth="1"/>
    <col min="15107" max="15107" width="20.8515625" style="285" customWidth="1"/>
    <col min="15108" max="15108" width="1.7109375" style="285" customWidth="1"/>
    <col min="15109" max="15109" width="63.7109375" style="285" customWidth="1"/>
    <col min="15110" max="15110" width="5.00390625" style="285" customWidth="1"/>
    <col min="15111" max="15111" width="15.00390625" style="285" customWidth="1"/>
    <col min="15112" max="15112" width="14.00390625" style="285" customWidth="1"/>
    <col min="15113" max="15115" width="18.28125" style="285" customWidth="1"/>
    <col min="15116" max="15118" width="13.7109375" style="285" customWidth="1"/>
    <col min="15119" max="15128" width="14.140625" style="285" customWidth="1"/>
    <col min="15129" max="15168" width="14.140625" style="285" hidden="1" customWidth="1"/>
    <col min="15169" max="15360" width="14.140625" style="285" customWidth="1"/>
    <col min="15361" max="15361" width="4.7109375" style="285" customWidth="1"/>
    <col min="15362" max="15362" width="8.8515625" style="285" customWidth="1"/>
    <col min="15363" max="15363" width="20.8515625" style="285" customWidth="1"/>
    <col min="15364" max="15364" width="1.7109375" style="285" customWidth="1"/>
    <col min="15365" max="15365" width="63.7109375" style="285" customWidth="1"/>
    <col min="15366" max="15366" width="5.00390625" style="285" customWidth="1"/>
    <col min="15367" max="15367" width="15.00390625" style="285" customWidth="1"/>
    <col min="15368" max="15368" width="14.00390625" style="285" customWidth="1"/>
    <col min="15369" max="15371" width="18.28125" style="285" customWidth="1"/>
    <col min="15372" max="15374" width="13.7109375" style="285" customWidth="1"/>
    <col min="15375" max="15384" width="14.140625" style="285" customWidth="1"/>
    <col min="15385" max="15424" width="14.140625" style="285" hidden="1" customWidth="1"/>
    <col min="15425" max="15616" width="14.140625" style="285" customWidth="1"/>
    <col min="15617" max="15617" width="4.7109375" style="285" customWidth="1"/>
    <col min="15618" max="15618" width="8.8515625" style="285" customWidth="1"/>
    <col min="15619" max="15619" width="20.8515625" style="285" customWidth="1"/>
    <col min="15620" max="15620" width="1.7109375" style="285" customWidth="1"/>
    <col min="15621" max="15621" width="63.7109375" style="285" customWidth="1"/>
    <col min="15622" max="15622" width="5.00390625" style="285" customWidth="1"/>
    <col min="15623" max="15623" width="15.00390625" style="285" customWidth="1"/>
    <col min="15624" max="15624" width="14.00390625" style="285" customWidth="1"/>
    <col min="15625" max="15627" width="18.28125" style="285" customWidth="1"/>
    <col min="15628" max="15630" width="13.7109375" style="285" customWidth="1"/>
    <col min="15631" max="15640" width="14.140625" style="285" customWidth="1"/>
    <col min="15641" max="15680" width="14.140625" style="285" hidden="1" customWidth="1"/>
    <col min="15681" max="15872" width="14.140625" style="285" customWidth="1"/>
    <col min="15873" max="15873" width="4.7109375" style="285" customWidth="1"/>
    <col min="15874" max="15874" width="8.8515625" style="285" customWidth="1"/>
    <col min="15875" max="15875" width="20.8515625" style="285" customWidth="1"/>
    <col min="15876" max="15876" width="1.7109375" style="285" customWidth="1"/>
    <col min="15877" max="15877" width="63.7109375" style="285" customWidth="1"/>
    <col min="15878" max="15878" width="5.00390625" style="285" customWidth="1"/>
    <col min="15879" max="15879" width="15.00390625" style="285" customWidth="1"/>
    <col min="15880" max="15880" width="14.00390625" style="285" customWidth="1"/>
    <col min="15881" max="15883" width="18.28125" style="285" customWidth="1"/>
    <col min="15884" max="15886" width="13.7109375" style="285" customWidth="1"/>
    <col min="15887" max="15896" width="14.140625" style="285" customWidth="1"/>
    <col min="15897" max="15936" width="14.140625" style="285" hidden="1" customWidth="1"/>
    <col min="15937" max="16128" width="14.140625" style="285" customWidth="1"/>
    <col min="16129" max="16129" width="4.7109375" style="285" customWidth="1"/>
    <col min="16130" max="16130" width="8.8515625" style="285" customWidth="1"/>
    <col min="16131" max="16131" width="20.8515625" style="285" customWidth="1"/>
    <col min="16132" max="16132" width="1.7109375" style="285" customWidth="1"/>
    <col min="16133" max="16133" width="63.7109375" style="285" customWidth="1"/>
    <col min="16134" max="16134" width="5.00390625" style="285" customWidth="1"/>
    <col min="16135" max="16135" width="15.00390625" style="285" customWidth="1"/>
    <col min="16136" max="16136" width="14.00390625" style="285" customWidth="1"/>
    <col min="16137" max="16139" width="18.28125" style="285" customWidth="1"/>
    <col min="16140" max="16142" width="13.7109375" style="285" customWidth="1"/>
    <col min="16143" max="16152" width="14.140625" style="285" customWidth="1"/>
    <col min="16153" max="16192" width="14.140625" style="285" hidden="1" customWidth="1"/>
    <col min="16193" max="16384" width="14.140625" style="285" customWidth="1"/>
  </cols>
  <sheetData>
    <row r="1" spans="1:14" ht="54.75" customHeight="1">
      <c r="A1" s="500" t="s">
        <v>2064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</row>
    <row r="2" spans="1:14" ht="15" customHeight="1">
      <c r="A2" s="501" t="s">
        <v>1996</v>
      </c>
      <c r="B2" s="502"/>
      <c r="C2" s="502"/>
      <c r="D2" s="505" t="s">
        <v>17</v>
      </c>
      <c r="E2" s="506"/>
      <c r="F2" s="502" t="s">
        <v>2043</v>
      </c>
      <c r="G2" s="502"/>
      <c r="H2" s="502" t="s">
        <v>39</v>
      </c>
      <c r="I2" s="508" t="s">
        <v>1997</v>
      </c>
      <c r="J2" s="508" t="s">
        <v>2065</v>
      </c>
      <c r="K2" s="502"/>
      <c r="L2" s="502"/>
      <c r="M2" s="502"/>
      <c r="N2" s="509"/>
    </row>
    <row r="3" spans="1:14" ht="15" customHeight="1">
      <c r="A3" s="503"/>
      <c r="B3" s="504"/>
      <c r="C3" s="504"/>
      <c r="D3" s="507"/>
      <c r="E3" s="507"/>
      <c r="F3" s="504"/>
      <c r="G3" s="504"/>
      <c r="H3" s="504"/>
      <c r="I3" s="504"/>
      <c r="J3" s="504"/>
      <c r="K3" s="504"/>
      <c r="L3" s="504"/>
      <c r="M3" s="504"/>
      <c r="N3" s="510"/>
    </row>
    <row r="4" spans="1:14" ht="15" customHeight="1">
      <c r="A4" s="511" t="s">
        <v>1999</v>
      </c>
      <c r="B4" s="504"/>
      <c r="C4" s="504"/>
      <c r="D4" s="512" t="s">
        <v>1727</v>
      </c>
      <c r="E4" s="504"/>
      <c r="F4" s="504" t="s">
        <v>2002</v>
      </c>
      <c r="G4" s="504"/>
      <c r="H4" s="504" t="s">
        <v>2044</v>
      </c>
      <c r="I4" s="512" t="s">
        <v>33</v>
      </c>
      <c r="J4" s="504" t="s">
        <v>2066</v>
      </c>
      <c r="K4" s="504"/>
      <c r="L4" s="504"/>
      <c r="M4" s="504"/>
      <c r="N4" s="510"/>
    </row>
    <row r="5" spans="1:14" ht="15" customHeight="1">
      <c r="A5" s="503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10"/>
    </row>
    <row r="6" spans="1:14" ht="15" customHeight="1">
      <c r="A6" s="511" t="s">
        <v>2000</v>
      </c>
      <c r="B6" s="504"/>
      <c r="C6" s="504"/>
      <c r="D6" s="512" t="s">
        <v>39</v>
      </c>
      <c r="E6" s="504"/>
      <c r="F6" s="504" t="s">
        <v>2003</v>
      </c>
      <c r="G6" s="504"/>
      <c r="H6" s="504" t="s">
        <v>39</v>
      </c>
      <c r="I6" s="512" t="s">
        <v>2001</v>
      </c>
      <c r="J6" s="512" t="s">
        <v>2067</v>
      </c>
      <c r="K6" s="504"/>
      <c r="L6" s="504"/>
      <c r="M6" s="504"/>
      <c r="N6" s="510"/>
    </row>
    <row r="7" spans="1:14" ht="15" customHeight="1">
      <c r="A7" s="503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10"/>
    </row>
    <row r="8" spans="1:14" ht="15" customHeight="1">
      <c r="A8" s="511" t="s">
        <v>2005</v>
      </c>
      <c r="B8" s="504"/>
      <c r="C8" s="504"/>
      <c r="D8" s="512" t="s">
        <v>39</v>
      </c>
      <c r="E8" s="504"/>
      <c r="F8" s="504" t="s">
        <v>2045</v>
      </c>
      <c r="G8" s="504"/>
      <c r="H8" s="504" t="s">
        <v>2044</v>
      </c>
      <c r="I8" s="512" t="s">
        <v>2006</v>
      </c>
      <c r="J8" s="504" t="s">
        <v>2066</v>
      </c>
      <c r="K8" s="504"/>
      <c r="L8" s="504"/>
      <c r="M8" s="504"/>
      <c r="N8" s="510"/>
    </row>
    <row r="9" spans="1:14" ht="15" customHeight="1" thickBot="1">
      <c r="A9" s="503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10"/>
    </row>
    <row r="10" spans="1:64" ht="15" customHeight="1">
      <c r="A10" s="315" t="s">
        <v>2068</v>
      </c>
      <c r="B10" s="316" t="s">
        <v>1931</v>
      </c>
      <c r="C10" s="316" t="s">
        <v>57</v>
      </c>
      <c r="D10" s="546" t="s">
        <v>2046</v>
      </c>
      <c r="E10" s="547"/>
      <c r="F10" s="316" t="s">
        <v>131</v>
      </c>
      <c r="G10" s="317" t="s">
        <v>132</v>
      </c>
      <c r="H10" s="318" t="s">
        <v>2069</v>
      </c>
      <c r="I10" s="548" t="s">
        <v>2070</v>
      </c>
      <c r="J10" s="549"/>
      <c r="K10" s="550"/>
      <c r="L10" s="549" t="s">
        <v>2071</v>
      </c>
      <c r="M10" s="549"/>
      <c r="N10" s="319" t="s">
        <v>2072</v>
      </c>
      <c r="BK10" s="320" t="s">
        <v>2073</v>
      </c>
      <c r="BL10" s="321" t="s">
        <v>2074</v>
      </c>
    </row>
    <row r="11" spans="1:62" ht="15" customHeight="1" thickBot="1">
      <c r="A11" s="322" t="s">
        <v>39</v>
      </c>
      <c r="B11" s="323" t="s">
        <v>39</v>
      </c>
      <c r="C11" s="323" t="s">
        <v>39</v>
      </c>
      <c r="D11" s="551" t="s">
        <v>2075</v>
      </c>
      <c r="E11" s="552"/>
      <c r="F11" s="323" t="s">
        <v>39</v>
      </c>
      <c r="G11" s="323" t="s">
        <v>39</v>
      </c>
      <c r="H11" s="324" t="s">
        <v>2076</v>
      </c>
      <c r="I11" s="325" t="s">
        <v>2077</v>
      </c>
      <c r="J11" s="326" t="s">
        <v>2015</v>
      </c>
      <c r="K11" s="327" t="s">
        <v>2078</v>
      </c>
      <c r="L11" s="326" t="s">
        <v>2079</v>
      </c>
      <c r="M11" s="324" t="s">
        <v>2078</v>
      </c>
      <c r="N11" s="328" t="s">
        <v>2080</v>
      </c>
      <c r="Z11" s="320" t="s">
        <v>2081</v>
      </c>
      <c r="AA11" s="320" t="s">
        <v>2082</v>
      </c>
      <c r="AB11" s="320" t="s">
        <v>2083</v>
      </c>
      <c r="AC11" s="320" t="s">
        <v>2084</v>
      </c>
      <c r="AD11" s="320" t="s">
        <v>2085</v>
      </c>
      <c r="AE11" s="320" t="s">
        <v>2086</v>
      </c>
      <c r="AF11" s="320" t="s">
        <v>2087</v>
      </c>
      <c r="AG11" s="320" t="s">
        <v>2088</v>
      </c>
      <c r="AH11" s="320" t="s">
        <v>2089</v>
      </c>
      <c r="BH11" s="320" t="s">
        <v>2090</v>
      </c>
      <c r="BI11" s="320" t="s">
        <v>2091</v>
      </c>
      <c r="BJ11" s="320" t="s">
        <v>2092</v>
      </c>
    </row>
    <row r="12" spans="1:14" ht="15" customHeight="1">
      <c r="A12" s="329" t="s">
        <v>19</v>
      </c>
      <c r="B12" s="330" t="s">
        <v>2051</v>
      </c>
      <c r="C12" s="330" t="s">
        <v>19</v>
      </c>
      <c r="D12" s="553" t="s">
        <v>2052</v>
      </c>
      <c r="E12" s="553"/>
      <c r="F12" s="331" t="s">
        <v>39</v>
      </c>
      <c r="G12" s="331" t="s">
        <v>39</v>
      </c>
      <c r="H12" s="331" t="s">
        <v>39</v>
      </c>
      <c r="I12" s="332">
        <f>I13+I20</f>
        <v>0</v>
      </c>
      <c r="J12" s="332">
        <f>J13+J20</f>
        <v>0</v>
      </c>
      <c r="K12" s="332">
        <f>K13+K20</f>
        <v>0</v>
      </c>
      <c r="L12" s="320" t="s">
        <v>19</v>
      </c>
      <c r="M12" s="332">
        <f>M13+M20</f>
        <v>5.634399999999999</v>
      </c>
      <c r="N12" s="333" t="s">
        <v>19</v>
      </c>
    </row>
    <row r="13" spans="1:47" ht="15" customHeight="1">
      <c r="A13" s="329" t="s">
        <v>19</v>
      </c>
      <c r="B13" s="330" t="s">
        <v>2051</v>
      </c>
      <c r="C13" s="330" t="s">
        <v>2053</v>
      </c>
      <c r="D13" s="553" t="s">
        <v>2054</v>
      </c>
      <c r="E13" s="553"/>
      <c r="F13" s="331" t="s">
        <v>39</v>
      </c>
      <c r="G13" s="331" t="s">
        <v>39</v>
      </c>
      <c r="H13" s="331" t="s">
        <v>39</v>
      </c>
      <c r="I13" s="332">
        <f>SUM(I14:I19)</f>
        <v>0</v>
      </c>
      <c r="J13" s="332">
        <f>SUM(J14:J19)</f>
        <v>0</v>
      </c>
      <c r="K13" s="332">
        <f>SUM(K14:K19)</f>
        <v>0</v>
      </c>
      <c r="L13" s="320" t="s">
        <v>19</v>
      </c>
      <c r="M13" s="332">
        <f>SUM(M14:M19)</f>
        <v>3.3324</v>
      </c>
      <c r="N13" s="333" t="s">
        <v>19</v>
      </c>
      <c r="AI13" s="320" t="s">
        <v>2051</v>
      </c>
      <c r="AS13" s="332">
        <f>SUM(AJ14:AJ19)</f>
        <v>0</v>
      </c>
      <c r="AT13" s="332">
        <f>SUM(AK14:AK19)</f>
        <v>0</v>
      </c>
      <c r="AU13" s="332">
        <f>SUM(AL14:AL19)</f>
        <v>0</v>
      </c>
    </row>
    <row r="14" spans="1:64" ht="15" customHeight="1">
      <c r="A14" s="286" t="s">
        <v>84</v>
      </c>
      <c r="B14" s="287" t="s">
        <v>2051</v>
      </c>
      <c r="C14" s="287" t="s">
        <v>2093</v>
      </c>
      <c r="D14" s="504" t="s">
        <v>2094</v>
      </c>
      <c r="E14" s="504"/>
      <c r="F14" s="287" t="s">
        <v>308</v>
      </c>
      <c r="G14" s="310">
        <v>762</v>
      </c>
      <c r="H14" s="310">
        <v>0</v>
      </c>
      <c r="I14" s="310">
        <f aca="true" t="shared" si="0" ref="I14:I19">G14*AO14</f>
        <v>0</v>
      </c>
      <c r="J14" s="310">
        <f aca="true" t="shared" si="1" ref="J14:J19">G14*AP14</f>
        <v>0</v>
      </c>
      <c r="K14" s="310">
        <f aca="true" t="shared" si="2" ref="K14:K19">G14*H14</f>
        <v>0</v>
      </c>
      <c r="L14" s="310">
        <v>0</v>
      </c>
      <c r="M14" s="310">
        <f aca="true" t="shared" si="3" ref="M14:M19">G14*L14</f>
        <v>0</v>
      </c>
      <c r="N14" s="334" t="s">
        <v>2095</v>
      </c>
      <c r="Z14" s="310">
        <f aca="true" t="shared" si="4" ref="Z14:Z19">IF(AQ14="5",BJ14,0)</f>
        <v>0</v>
      </c>
      <c r="AB14" s="310">
        <f aca="true" t="shared" si="5" ref="AB14:AB19">IF(AQ14="1",BH14,0)</f>
        <v>0</v>
      </c>
      <c r="AC14" s="310">
        <f aca="true" t="shared" si="6" ref="AC14:AC19">IF(AQ14="1",BI14,0)</f>
        <v>0</v>
      </c>
      <c r="AD14" s="310">
        <f aca="true" t="shared" si="7" ref="AD14:AD19">IF(AQ14="7",BH14,0)</f>
        <v>0</v>
      </c>
      <c r="AE14" s="310">
        <f aca="true" t="shared" si="8" ref="AE14:AE19">IF(AQ14="7",BI14,0)</f>
        <v>0</v>
      </c>
      <c r="AF14" s="310">
        <f aca="true" t="shared" si="9" ref="AF14:AF19">IF(AQ14="2",BH14,0)</f>
        <v>0</v>
      </c>
      <c r="AG14" s="310">
        <f aca="true" t="shared" si="10" ref="AG14:AG19">IF(AQ14="2",BI14,0)</f>
        <v>0</v>
      </c>
      <c r="AH14" s="310">
        <f aca="true" t="shared" si="11" ref="AH14:AH19">IF(AQ14="0",BJ14,0)</f>
        <v>0</v>
      </c>
      <c r="AI14" s="320" t="s">
        <v>2051</v>
      </c>
      <c r="AJ14" s="310">
        <f aca="true" t="shared" si="12" ref="AJ14:AJ19">IF(AN14=0,K14,0)</f>
        <v>0</v>
      </c>
      <c r="AK14" s="310">
        <f aca="true" t="shared" si="13" ref="AK14:AK19">IF(AN14=15,K14,0)</f>
        <v>0</v>
      </c>
      <c r="AL14" s="310">
        <f aca="true" t="shared" si="14" ref="AL14:AL19">IF(AN14=21,K14,0)</f>
        <v>0</v>
      </c>
      <c r="AN14" s="310">
        <v>21</v>
      </c>
      <c r="AO14" s="310">
        <f aca="true" t="shared" si="15" ref="AO14:AO19">H14*0</f>
        <v>0</v>
      </c>
      <c r="AP14" s="310">
        <f aca="true" t="shared" si="16" ref="AP14:AP19">H14*(1-0)</f>
        <v>0</v>
      </c>
      <c r="AQ14" s="335" t="s">
        <v>86</v>
      </c>
      <c r="AV14" s="310">
        <f aca="true" t="shared" si="17" ref="AV14:AV19">AW14+AX14</f>
        <v>0</v>
      </c>
      <c r="AW14" s="310">
        <f aca="true" t="shared" si="18" ref="AW14:AW19">G14*AO14</f>
        <v>0</v>
      </c>
      <c r="AX14" s="310">
        <f aca="true" t="shared" si="19" ref="AX14:AX19">G14*AP14</f>
        <v>0</v>
      </c>
      <c r="AY14" s="335" t="s">
        <v>2096</v>
      </c>
      <c r="AZ14" s="335" t="s">
        <v>2097</v>
      </c>
      <c r="BA14" s="320" t="s">
        <v>2098</v>
      </c>
      <c r="BC14" s="310">
        <f aca="true" t="shared" si="20" ref="BC14:BC19">AW14+AX14</f>
        <v>0</v>
      </c>
      <c r="BD14" s="310">
        <f aca="true" t="shared" si="21" ref="BD14:BD19">H14/(100-BE14)*100</f>
        <v>0</v>
      </c>
      <c r="BE14" s="310">
        <v>0</v>
      </c>
      <c r="BF14" s="310">
        <f aca="true" t="shared" si="22" ref="BF14:BF19">M14</f>
        <v>0</v>
      </c>
      <c r="BH14" s="310">
        <f aca="true" t="shared" si="23" ref="BH14:BH19">G14*AO14</f>
        <v>0</v>
      </c>
      <c r="BI14" s="310">
        <f aca="true" t="shared" si="24" ref="BI14:BI19">G14*AP14</f>
        <v>0</v>
      </c>
      <c r="BJ14" s="310">
        <f aca="true" t="shared" si="25" ref="BJ14:BJ19">G14*H14</f>
        <v>0</v>
      </c>
      <c r="BK14" s="310"/>
      <c r="BL14" s="310"/>
    </row>
    <row r="15" spans="1:64" ht="15" customHeight="1">
      <c r="A15" s="286" t="s">
        <v>86</v>
      </c>
      <c r="B15" s="287" t="s">
        <v>2051</v>
      </c>
      <c r="C15" s="287" t="s">
        <v>2099</v>
      </c>
      <c r="D15" s="504" t="s">
        <v>2100</v>
      </c>
      <c r="E15" s="504"/>
      <c r="F15" s="287" t="s">
        <v>467</v>
      </c>
      <c r="G15" s="310">
        <v>2</v>
      </c>
      <c r="H15" s="310">
        <v>0</v>
      </c>
      <c r="I15" s="310">
        <f t="shared" si="0"/>
        <v>0</v>
      </c>
      <c r="J15" s="310">
        <f t="shared" si="1"/>
        <v>0</v>
      </c>
      <c r="K15" s="310">
        <f t="shared" si="2"/>
        <v>0</v>
      </c>
      <c r="L15" s="310">
        <v>1.6662</v>
      </c>
      <c r="M15" s="310">
        <f t="shared" si="3"/>
        <v>3.3324</v>
      </c>
      <c r="N15" s="334" t="s">
        <v>2101</v>
      </c>
      <c r="Z15" s="310">
        <f t="shared" si="4"/>
        <v>0</v>
      </c>
      <c r="AB15" s="310">
        <f t="shared" si="5"/>
        <v>0</v>
      </c>
      <c r="AC15" s="310">
        <f t="shared" si="6"/>
        <v>0</v>
      </c>
      <c r="AD15" s="310">
        <f t="shared" si="7"/>
        <v>0</v>
      </c>
      <c r="AE15" s="310">
        <f t="shared" si="8"/>
        <v>0</v>
      </c>
      <c r="AF15" s="310">
        <f t="shared" si="9"/>
        <v>0</v>
      </c>
      <c r="AG15" s="310">
        <f t="shared" si="10"/>
        <v>0</v>
      </c>
      <c r="AH15" s="310">
        <f t="shared" si="11"/>
        <v>0</v>
      </c>
      <c r="AI15" s="320" t="s">
        <v>2051</v>
      </c>
      <c r="AJ15" s="310">
        <f t="shared" si="12"/>
        <v>0</v>
      </c>
      <c r="AK15" s="310">
        <f t="shared" si="13"/>
        <v>0</v>
      </c>
      <c r="AL15" s="310">
        <f t="shared" si="14"/>
        <v>0</v>
      </c>
      <c r="AN15" s="310">
        <v>21</v>
      </c>
      <c r="AO15" s="310">
        <f t="shared" si="15"/>
        <v>0</v>
      </c>
      <c r="AP15" s="310">
        <f t="shared" si="16"/>
        <v>0</v>
      </c>
      <c r="AQ15" s="335" t="s">
        <v>86</v>
      </c>
      <c r="AV15" s="310">
        <f t="shared" si="17"/>
        <v>0</v>
      </c>
      <c r="AW15" s="310">
        <f t="shared" si="18"/>
        <v>0</v>
      </c>
      <c r="AX15" s="310">
        <f t="shared" si="19"/>
        <v>0</v>
      </c>
      <c r="AY15" s="335" t="s">
        <v>2096</v>
      </c>
      <c r="AZ15" s="335" t="s">
        <v>2097</v>
      </c>
      <c r="BA15" s="320" t="s">
        <v>2098</v>
      </c>
      <c r="BC15" s="310">
        <f t="shared" si="20"/>
        <v>0</v>
      </c>
      <c r="BD15" s="310">
        <f t="shared" si="21"/>
        <v>0</v>
      </c>
      <c r="BE15" s="310">
        <v>0</v>
      </c>
      <c r="BF15" s="310">
        <f t="shared" si="22"/>
        <v>3.3324</v>
      </c>
      <c r="BH15" s="310">
        <f t="shared" si="23"/>
        <v>0</v>
      </c>
      <c r="BI15" s="310">
        <f t="shared" si="24"/>
        <v>0</v>
      </c>
      <c r="BJ15" s="310">
        <f t="shared" si="25"/>
        <v>0</v>
      </c>
      <c r="BK15" s="310"/>
      <c r="BL15" s="310"/>
    </row>
    <row r="16" spans="1:64" ht="15" customHeight="1">
      <c r="A16" s="286" t="s">
        <v>162</v>
      </c>
      <c r="B16" s="287" t="s">
        <v>2051</v>
      </c>
      <c r="C16" s="287" t="s">
        <v>2102</v>
      </c>
      <c r="D16" s="504" t="s">
        <v>2103</v>
      </c>
      <c r="E16" s="504"/>
      <c r="F16" s="287" t="s">
        <v>308</v>
      </c>
      <c r="G16" s="310">
        <v>6</v>
      </c>
      <c r="H16" s="310">
        <v>0</v>
      </c>
      <c r="I16" s="310">
        <f t="shared" si="0"/>
        <v>0</v>
      </c>
      <c r="J16" s="310">
        <f t="shared" si="1"/>
        <v>0</v>
      </c>
      <c r="K16" s="310">
        <f t="shared" si="2"/>
        <v>0</v>
      </c>
      <c r="L16" s="310">
        <v>0</v>
      </c>
      <c r="M16" s="310">
        <f t="shared" si="3"/>
        <v>0</v>
      </c>
      <c r="N16" s="334" t="s">
        <v>2095</v>
      </c>
      <c r="Z16" s="310">
        <f t="shared" si="4"/>
        <v>0</v>
      </c>
      <c r="AB16" s="310">
        <f t="shared" si="5"/>
        <v>0</v>
      </c>
      <c r="AC16" s="310">
        <f t="shared" si="6"/>
        <v>0</v>
      </c>
      <c r="AD16" s="310">
        <f t="shared" si="7"/>
        <v>0</v>
      </c>
      <c r="AE16" s="310">
        <f t="shared" si="8"/>
        <v>0</v>
      </c>
      <c r="AF16" s="310">
        <f t="shared" si="9"/>
        <v>0</v>
      </c>
      <c r="AG16" s="310">
        <f t="shared" si="10"/>
        <v>0</v>
      </c>
      <c r="AH16" s="310">
        <f t="shared" si="11"/>
        <v>0</v>
      </c>
      <c r="AI16" s="320" t="s">
        <v>2051</v>
      </c>
      <c r="AJ16" s="310">
        <f t="shared" si="12"/>
        <v>0</v>
      </c>
      <c r="AK16" s="310">
        <f t="shared" si="13"/>
        <v>0</v>
      </c>
      <c r="AL16" s="310">
        <f t="shared" si="14"/>
        <v>0</v>
      </c>
      <c r="AN16" s="310">
        <v>21</v>
      </c>
      <c r="AO16" s="310">
        <f t="shared" si="15"/>
        <v>0</v>
      </c>
      <c r="AP16" s="310">
        <f t="shared" si="16"/>
        <v>0</v>
      </c>
      <c r="AQ16" s="335" t="s">
        <v>86</v>
      </c>
      <c r="AV16" s="310">
        <f t="shared" si="17"/>
        <v>0</v>
      </c>
      <c r="AW16" s="310">
        <f t="shared" si="18"/>
        <v>0</v>
      </c>
      <c r="AX16" s="310">
        <f t="shared" si="19"/>
        <v>0</v>
      </c>
      <c r="AY16" s="335" t="s">
        <v>2096</v>
      </c>
      <c r="AZ16" s="335" t="s">
        <v>2097</v>
      </c>
      <c r="BA16" s="320" t="s">
        <v>2098</v>
      </c>
      <c r="BC16" s="310">
        <f t="shared" si="20"/>
        <v>0</v>
      </c>
      <c r="BD16" s="310">
        <f t="shared" si="21"/>
        <v>0</v>
      </c>
      <c r="BE16" s="310">
        <v>0</v>
      </c>
      <c r="BF16" s="310">
        <f t="shared" si="22"/>
        <v>0</v>
      </c>
      <c r="BH16" s="310">
        <f t="shared" si="23"/>
        <v>0</v>
      </c>
      <c r="BI16" s="310">
        <f t="shared" si="24"/>
        <v>0</v>
      </c>
      <c r="BJ16" s="310">
        <f t="shared" si="25"/>
        <v>0</v>
      </c>
      <c r="BK16" s="310"/>
      <c r="BL16" s="310"/>
    </row>
    <row r="17" spans="1:64" ht="15" customHeight="1">
      <c r="A17" s="286" t="s">
        <v>166</v>
      </c>
      <c r="B17" s="287" t="s">
        <v>2051</v>
      </c>
      <c r="C17" s="287" t="s">
        <v>2104</v>
      </c>
      <c r="D17" s="504" t="s">
        <v>2105</v>
      </c>
      <c r="E17" s="504"/>
      <c r="F17" s="287" t="s">
        <v>308</v>
      </c>
      <c r="G17" s="310">
        <v>4</v>
      </c>
      <c r="H17" s="310">
        <v>0</v>
      </c>
      <c r="I17" s="310">
        <f t="shared" si="0"/>
        <v>0</v>
      </c>
      <c r="J17" s="310">
        <f t="shared" si="1"/>
        <v>0</v>
      </c>
      <c r="K17" s="310">
        <f t="shared" si="2"/>
        <v>0</v>
      </c>
      <c r="L17" s="310">
        <v>0</v>
      </c>
      <c r="M17" s="310">
        <f t="shared" si="3"/>
        <v>0</v>
      </c>
      <c r="N17" s="334" t="s">
        <v>2095</v>
      </c>
      <c r="Z17" s="310">
        <f t="shared" si="4"/>
        <v>0</v>
      </c>
      <c r="AB17" s="310">
        <f t="shared" si="5"/>
        <v>0</v>
      </c>
      <c r="AC17" s="310">
        <f t="shared" si="6"/>
        <v>0</v>
      </c>
      <c r="AD17" s="310">
        <f t="shared" si="7"/>
        <v>0</v>
      </c>
      <c r="AE17" s="310">
        <f t="shared" si="8"/>
        <v>0</v>
      </c>
      <c r="AF17" s="310">
        <f t="shared" si="9"/>
        <v>0</v>
      </c>
      <c r="AG17" s="310">
        <f t="shared" si="10"/>
        <v>0</v>
      </c>
      <c r="AH17" s="310">
        <f t="shared" si="11"/>
        <v>0</v>
      </c>
      <c r="AI17" s="320" t="s">
        <v>2051</v>
      </c>
      <c r="AJ17" s="310">
        <f t="shared" si="12"/>
        <v>0</v>
      </c>
      <c r="AK17" s="310">
        <f t="shared" si="13"/>
        <v>0</v>
      </c>
      <c r="AL17" s="310">
        <f t="shared" si="14"/>
        <v>0</v>
      </c>
      <c r="AN17" s="310">
        <v>21</v>
      </c>
      <c r="AO17" s="310">
        <f t="shared" si="15"/>
        <v>0</v>
      </c>
      <c r="AP17" s="310">
        <f t="shared" si="16"/>
        <v>0</v>
      </c>
      <c r="AQ17" s="335" t="s">
        <v>86</v>
      </c>
      <c r="AV17" s="310">
        <f t="shared" si="17"/>
        <v>0</v>
      </c>
      <c r="AW17" s="310">
        <f t="shared" si="18"/>
        <v>0</v>
      </c>
      <c r="AX17" s="310">
        <f t="shared" si="19"/>
        <v>0</v>
      </c>
      <c r="AY17" s="335" t="s">
        <v>2096</v>
      </c>
      <c r="AZ17" s="335" t="s">
        <v>2097</v>
      </c>
      <c r="BA17" s="320" t="s">
        <v>2098</v>
      </c>
      <c r="BC17" s="310">
        <f t="shared" si="20"/>
        <v>0</v>
      </c>
      <c r="BD17" s="310">
        <f t="shared" si="21"/>
        <v>0</v>
      </c>
      <c r="BE17" s="310">
        <v>0</v>
      </c>
      <c r="BF17" s="310">
        <f t="shared" si="22"/>
        <v>0</v>
      </c>
      <c r="BH17" s="310">
        <f t="shared" si="23"/>
        <v>0</v>
      </c>
      <c r="BI17" s="310">
        <f t="shared" si="24"/>
        <v>0</v>
      </c>
      <c r="BJ17" s="310">
        <f t="shared" si="25"/>
        <v>0</v>
      </c>
      <c r="BK17" s="310"/>
      <c r="BL17" s="310"/>
    </row>
    <row r="18" spans="1:64" ht="15" customHeight="1">
      <c r="A18" s="286" t="s">
        <v>143</v>
      </c>
      <c r="B18" s="287" t="s">
        <v>2051</v>
      </c>
      <c r="C18" s="287" t="s">
        <v>2106</v>
      </c>
      <c r="D18" s="504" t="s">
        <v>2107</v>
      </c>
      <c r="E18" s="504"/>
      <c r="F18" s="287" t="s">
        <v>467</v>
      </c>
      <c r="G18" s="310">
        <v>16</v>
      </c>
      <c r="H18" s="310">
        <v>0</v>
      </c>
      <c r="I18" s="310">
        <f t="shared" si="0"/>
        <v>0</v>
      </c>
      <c r="J18" s="310">
        <f t="shared" si="1"/>
        <v>0</v>
      </c>
      <c r="K18" s="310">
        <f t="shared" si="2"/>
        <v>0</v>
      </c>
      <c r="L18" s="310">
        <v>0</v>
      </c>
      <c r="M18" s="310">
        <f t="shared" si="3"/>
        <v>0</v>
      </c>
      <c r="N18" s="334" t="s">
        <v>2095</v>
      </c>
      <c r="Z18" s="310">
        <f t="shared" si="4"/>
        <v>0</v>
      </c>
      <c r="AB18" s="310">
        <f t="shared" si="5"/>
        <v>0</v>
      </c>
      <c r="AC18" s="310">
        <f t="shared" si="6"/>
        <v>0</v>
      </c>
      <c r="AD18" s="310">
        <f t="shared" si="7"/>
        <v>0</v>
      </c>
      <c r="AE18" s="310">
        <f t="shared" si="8"/>
        <v>0</v>
      </c>
      <c r="AF18" s="310">
        <f t="shared" si="9"/>
        <v>0</v>
      </c>
      <c r="AG18" s="310">
        <f t="shared" si="10"/>
        <v>0</v>
      </c>
      <c r="AH18" s="310">
        <f t="shared" si="11"/>
        <v>0</v>
      </c>
      <c r="AI18" s="320" t="s">
        <v>2051</v>
      </c>
      <c r="AJ18" s="310">
        <f t="shared" si="12"/>
        <v>0</v>
      </c>
      <c r="AK18" s="310">
        <f t="shared" si="13"/>
        <v>0</v>
      </c>
      <c r="AL18" s="310">
        <f t="shared" si="14"/>
        <v>0</v>
      </c>
      <c r="AN18" s="310">
        <v>21</v>
      </c>
      <c r="AO18" s="310">
        <f t="shared" si="15"/>
        <v>0</v>
      </c>
      <c r="AP18" s="310">
        <f t="shared" si="16"/>
        <v>0</v>
      </c>
      <c r="AQ18" s="335" t="s">
        <v>86</v>
      </c>
      <c r="AV18" s="310">
        <f t="shared" si="17"/>
        <v>0</v>
      </c>
      <c r="AW18" s="310">
        <f t="shared" si="18"/>
        <v>0</v>
      </c>
      <c r="AX18" s="310">
        <f t="shared" si="19"/>
        <v>0</v>
      </c>
      <c r="AY18" s="335" t="s">
        <v>2096</v>
      </c>
      <c r="AZ18" s="335" t="s">
        <v>2097</v>
      </c>
      <c r="BA18" s="320" t="s">
        <v>2098</v>
      </c>
      <c r="BC18" s="310">
        <f t="shared" si="20"/>
        <v>0</v>
      </c>
      <c r="BD18" s="310">
        <f t="shared" si="21"/>
        <v>0</v>
      </c>
      <c r="BE18" s="310">
        <v>0</v>
      </c>
      <c r="BF18" s="310">
        <f t="shared" si="22"/>
        <v>0</v>
      </c>
      <c r="BH18" s="310">
        <f t="shared" si="23"/>
        <v>0</v>
      </c>
      <c r="BI18" s="310">
        <f t="shared" si="24"/>
        <v>0</v>
      </c>
      <c r="BJ18" s="310">
        <f t="shared" si="25"/>
        <v>0</v>
      </c>
      <c r="BK18" s="310"/>
      <c r="BL18" s="310"/>
    </row>
    <row r="19" spans="1:64" ht="15" customHeight="1">
      <c r="A19" s="286" t="s">
        <v>177</v>
      </c>
      <c r="B19" s="287" t="s">
        <v>2051</v>
      </c>
      <c r="C19" s="287" t="s">
        <v>2108</v>
      </c>
      <c r="D19" s="504" t="s">
        <v>2109</v>
      </c>
      <c r="E19" s="504"/>
      <c r="F19" s="287" t="s">
        <v>308</v>
      </c>
      <c r="G19" s="310">
        <v>1523</v>
      </c>
      <c r="H19" s="310">
        <v>0</v>
      </c>
      <c r="I19" s="310">
        <f t="shared" si="0"/>
        <v>0</v>
      </c>
      <c r="J19" s="310">
        <f t="shared" si="1"/>
        <v>0</v>
      </c>
      <c r="K19" s="310">
        <f t="shared" si="2"/>
        <v>0</v>
      </c>
      <c r="L19" s="310">
        <v>0</v>
      </c>
      <c r="M19" s="310">
        <f t="shared" si="3"/>
        <v>0</v>
      </c>
      <c r="N19" s="334" t="s">
        <v>2095</v>
      </c>
      <c r="Z19" s="310">
        <f t="shared" si="4"/>
        <v>0</v>
      </c>
      <c r="AB19" s="310">
        <f t="shared" si="5"/>
        <v>0</v>
      </c>
      <c r="AC19" s="310">
        <f t="shared" si="6"/>
        <v>0</v>
      </c>
      <c r="AD19" s="310">
        <f t="shared" si="7"/>
        <v>0</v>
      </c>
      <c r="AE19" s="310">
        <f t="shared" si="8"/>
        <v>0</v>
      </c>
      <c r="AF19" s="310">
        <f t="shared" si="9"/>
        <v>0</v>
      </c>
      <c r="AG19" s="310">
        <f t="shared" si="10"/>
        <v>0</v>
      </c>
      <c r="AH19" s="310">
        <f t="shared" si="11"/>
        <v>0</v>
      </c>
      <c r="AI19" s="320" t="s">
        <v>2051</v>
      </c>
      <c r="AJ19" s="310">
        <f t="shared" si="12"/>
        <v>0</v>
      </c>
      <c r="AK19" s="310">
        <f t="shared" si="13"/>
        <v>0</v>
      </c>
      <c r="AL19" s="310">
        <f t="shared" si="14"/>
        <v>0</v>
      </c>
      <c r="AN19" s="310">
        <v>21</v>
      </c>
      <c r="AO19" s="310">
        <f t="shared" si="15"/>
        <v>0</v>
      </c>
      <c r="AP19" s="310">
        <f t="shared" si="16"/>
        <v>0</v>
      </c>
      <c r="AQ19" s="335" t="s">
        <v>86</v>
      </c>
      <c r="AV19" s="310">
        <f t="shared" si="17"/>
        <v>0</v>
      </c>
      <c r="AW19" s="310">
        <f t="shared" si="18"/>
        <v>0</v>
      </c>
      <c r="AX19" s="310">
        <f t="shared" si="19"/>
        <v>0</v>
      </c>
      <c r="AY19" s="335" t="s">
        <v>2096</v>
      </c>
      <c r="AZ19" s="335" t="s">
        <v>2097</v>
      </c>
      <c r="BA19" s="320" t="s">
        <v>2098</v>
      </c>
      <c r="BC19" s="310">
        <f t="shared" si="20"/>
        <v>0</v>
      </c>
      <c r="BD19" s="310">
        <f t="shared" si="21"/>
        <v>0</v>
      </c>
      <c r="BE19" s="310">
        <v>0</v>
      </c>
      <c r="BF19" s="310">
        <f t="shared" si="22"/>
        <v>0</v>
      </c>
      <c r="BH19" s="310">
        <f t="shared" si="23"/>
        <v>0</v>
      </c>
      <c r="BI19" s="310">
        <f t="shared" si="24"/>
        <v>0</v>
      </c>
      <c r="BJ19" s="310">
        <f t="shared" si="25"/>
        <v>0</v>
      </c>
      <c r="BK19" s="310"/>
      <c r="BL19" s="310"/>
    </row>
    <row r="20" spans="1:47" ht="15" customHeight="1">
      <c r="A20" s="329" t="s">
        <v>19</v>
      </c>
      <c r="B20" s="330" t="s">
        <v>2051</v>
      </c>
      <c r="C20" s="330" t="s">
        <v>19</v>
      </c>
      <c r="D20" s="553" t="s">
        <v>2023</v>
      </c>
      <c r="E20" s="553"/>
      <c r="F20" s="331" t="s">
        <v>39</v>
      </c>
      <c r="G20" s="331" t="s">
        <v>39</v>
      </c>
      <c r="H20" s="331" t="s">
        <v>39</v>
      </c>
      <c r="I20" s="332">
        <f>SUM(I21:I26)</f>
        <v>0</v>
      </c>
      <c r="J20" s="332">
        <f>SUM(J21:J26)</f>
        <v>0</v>
      </c>
      <c r="K20" s="332">
        <f>SUM(K21:K26)</f>
        <v>0</v>
      </c>
      <c r="L20" s="320" t="s">
        <v>19</v>
      </c>
      <c r="M20" s="332">
        <f>SUM(M21:M26)</f>
        <v>2.302</v>
      </c>
      <c r="N20" s="333" t="s">
        <v>19</v>
      </c>
      <c r="AI20" s="320" t="s">
        <v>2051</v>
      </c>
      <c r="AS20" s="332">
        <f>SUM(AJ21:AJ26)</f>
        <v>0</v>
      </c>
      <c r="AT20" s="332">
        <f>SUM(AK21:AK26)</f>
        <v>0</v>
      </c>
      <c r="AU20" s="332">
        <f>SUM(AL21:AL26)</f>
        <v>0</v>
      </c>
    </row>
    <row r="21" spans="1:64" ht="15" customHeight="1">
      <c r="A21" s="286" t="s">
        <v>184</v>
      </c>
      <c r="B21" s="287" t="s">
        <v>2051</v>
      </c>
      <c r="C21" s="287" t="s">
        <v>2110</v>
      </c>
      <c r="D21" s="504" t="s">
        <v>2111</v>
      </c>
      <c r="E21" s="504"/>
      <c r="F21" s="287" t="s">
        <v>308</v>
      </c>
      <c r="G21" s="310">
        <v>762</v>
      </c>
      <c r="H21" s="310">
        <v>0</v>
      </c>
      <c r="I21" s="310">
        <f aca="true" t="shared" si="26" ref="I21:I26">G21*AO21</f>
        <v>0</v>
      </c>
      <c r="J21" s="310">
        <f aca="true" t="shared" si="27" ref="J21:J26">G21*AP21</f>
        <v>0</v>
      </c>
      <c r="K21" s="310">
        <f aca="true" t="shared" si="28" ref="K21:K26">G21*H21</f>
        <v>0</v>
      </c>
      <c r="L21" s="310">
        <v>0.001</v>
      </c>
      <c r="M21" s="310">
        <f aca="true" t="shared" si="29" ref="M21:M26">G21*L21</f>
        <v>0.762</v>
      </c>
      <c r="N21" s="334" t="s">
        <v>2112</v>
      </c>
      <c r="Z21" s="310">
        <f aca="true" t="shared" si="30" ref="Z21:Z26">IF(AQ21="5",BJ21,0)</f>
        <v>0</v>
      </c>
      <c r="AB21" s="310">
        <f aca="true" t="shared" si="31" ref="AB21:AB26">IF(AQ21="1",BH21,0)</f>
        <v>0</v>
      </c>
      <c r="AC21" s="310">
        <f aca="true" t="shared" si="32" ref="AC21:AC26">IF(AQ21="1",BI21,0)</f>
        <v>0</v>
      </c>
      <c r="AD21" s="310">
        <f aca="true" t="shared" si="33" ref="AD21:AD26">IF(AQ21="7",BH21,0)</f>
        <v>0</v>
      </c>
      <c r="AE21" s="310">
        <f aca="true" t="shared" si="34" ref="AE21:AE26">IF(AQ21="7",BI21,0)</f>
        <v>0</v>
      </c>
      <c r="AF21" s="310">
        <f aca="true" t="shared" si="35" ref="AF21:AF26">IF(AQ21="2",BH21,0)</f>
        <v>0</v>
      </c>
      <c r="AG21" s="310">
        <f aca="true" t="shared" si="36" ref="AG21:AG26">IF(AQ21="2",BI21,0)</f>
        <v>0</v>
      </c>
      <c r="AH21" s="310">
        <f aca="true" t="shared" si="37" ref="AH21:AH26">IF(AQ21="0",BJ21,0)</f>
        <v>0</v>
      </c>
      <c r="AI21" s="320" t="s">
        <v>2051</v>
      </c>
      <c r="AJ21" s="310">
        <f aca="true" t="shared" si="38" ref="AJ21:AJ26">IF(AN21=0,K21,0)</f>
        <v>0</v>
      </c>
      <c r="AK21" s="310">
        <f aca="true" t="shared" si="39" ref="AK21:AK26">IF(AN21=15,K21,0)</f>
        <v>0</v>
      </c>
      <c r="AL21" s="310">
        <f aca="true" t="shared" si="40" ref="AL21:AL26">IF(AN21=21,K21,0)</f>
        <v>0</v>
      </c>
      <c r="AN21" s="310">
        <v>21</v>
      </c>
      <c r="AO21" s="310">
        <f aca="true" t="shared" si="41" ref="AO21:AO26">H21*1</f>
        <v>0</v>
      </c>
      <c r="AP21" s="310">
        <f aca="true" t="shared" si="42" ref="AP21:AP26">H21*(1-1)</f>
        <v>0</v>
      </c>
      <c r="AQ21" s="335" t="s">
        <v>76</v>
      </c>
      <c r="AV21" s="310">
        <f aca="true" t="shared" si="43" ref="AV21:AV26">AW21+AX21</f>
        <v>0</v>
      </c>
      <c r="AW21" s="310">
        <f aca="true" t="shared" si="44" ref="AW21:AW26">G21*AO21</f>
        <v>0</v>
      </c>
      <c r="AX21" s="310">
        <f aca="true" t="shared" si="45" ref="AX21:AX26">G21*AP21</f>
        <v>0</v>
      </c>
      <c r="AY21" s="335" t="s">
        <v>2113</v>
      </c>
      <c r="AZ21" s="335" t="s">
        <v>2114</v>
      </c>
      <c r="BA21" s="320" t="s">
        <v>2098</v>
      </c>
      <c r="BC21" s="310">
        <f aca="true" t="shared" si="46" ref="BC21:BC26">AW21+AX21</f>
        <v>0</v>
      </c>
      <c r="BD21" s="310">
        <f aca="true" t="shared" si="47" ref="BD21:BD26">H21/(100-BE21)*100</f>
        <v>0</v>
      </c>
      <c r="BE21" s="310">
        <v>0</v>
      </c>
      <c r="BF21" s="310">
        <f aca="true" t="shared" si="48" ref="BF21:BF26">M21</f>
        <v>0.762</v>
      </c>
      <c r="BH21" s="310">
        <f aca="true" t="shared" si="49" ref="BH21:BH26">G21*AO21</f>
        <v>0</v>
      </c>
      <c r="BI21" s="310">
        <f aca="true" t="shared" si="50" ref="BI21:BI26">G21*AP21</f>
        <v>0</v>
      </c>
      <c r="BJ21" s="310">
        <f aca="true" t="shared" si="51" ref="BJ21:BJ26">G21*H21</f>
        <v>0</v>
      </c>
      <c r="BK21" s="310"/>
      <c r="BL21" s="310"/>
    </row>
    <row r="22" spans="1:64" ht="15" customHeight="1">
      <c r="A22" s="286" t="s">
        <v>189</v>
      </c>
      <c r="B22" s="287" t="s">
        <v>2051</v>
      </c>
      <c r="C22" s="287" t="s">
        <v>2115</v>
      </c>
      <c r="D22" s="504" t="s">
        <v>2103</v>
      </c>
      <c r="E22" s="504"/>
      <c r="F22" s="287" t="s">
        <v>467</v>
      </c>
      <c r="G22" s="310">
        <v>6</v>
      </c>
      <c r="H22" s="310">
        <v>0</v>
      </c>
      <c r="I22" s="310">
        <f t="shared" si="26"/>
        <v>0</v>
      </c>
      <c r="J22" s="310">
        <f t="shared" si="27"/>
        <v>0</v>
      </c>
      <c r="K22" s="310">
        <f t="shared" si="28"/>
        <v>0</v>
      </c>
      <c r="L22" s="310">
        <v>0.001</v>
      </c>
      <c r="M22" s="310">
        <f t="shared" si="29"/>
        <v>0.006</v>
      </c>
      <c r="N22" s="334" t="s">
        <v>2112</v>
      </c>
      <c r="Z22" s="310">
        <f t="shared" si="30"/>
        <v>0</v>
      </c>
      <c r="AB22" s="310">
        <f t="shared" si="31"/>
        <v>0</v>
      </c>
      <c r="AC22" s="310">
        <f t="shared" si="32"/>
        <v>0</v>
      </c>
      <c r="AD22" s="310">
        <f t="shared" si="33"/>
        <v>0</v>
      </c>
      <c r="AE22" s="310">
        <f t="shared" si="34"/>
        <v>0</v>
      </c>
      <c r="AF22" s="310">
        <f t="shared" si="35"/>
        <v>0</v>
      </c>
      <c r="AG22" s="310">
        <f t="shared" si="36"/>
        <v>0</v>
      </c>
      <c r="AH22" s="310">
        <f t="shared" si="37"/>
        <v>0</v>
      </c>
      <c r="AI22" s="320" t="s">
        <v>2051</v>
      </c>
      <c r="AJ22" s="310">
        <f t="shared" si="38"/>
        <v>0</v>
      </c>
      <c r="AK22" s="310">
        <f t="shared" si="39"/>
        <v>0</v>
      </c>
      <c r="AL22" s="310">
        <f t="shared" si="40"/>
        <v>0</v>
      </c>
      <c r="AN22" s="310">
        <v>21</v>
      </c>
      <c r="AO22" s="310">
        <f t="shared" si="41"/>
        <v>0</v>
      </c>
      <c r="AP22" s="310">
        <f t="shared" si="42"/>
        <v>0</v>
      </c>
      <c r="AQ22" s="335" t="s">
        <v>76</v>
      </c>
      <c r="AV22" s="310">
        <f t="shared" si="43"/>
        <v>0</v>
      </c>
      <c r="AW22" s="310">
        <f t="shared" si="44"/>
        <v>0</v>
      </c>
      <c r="AX22" s="310">
        <f t="shared" si="45"/>
        <v>0</v>
      </c>
      <c r="AY22" s="335" t="s">
        <v>2113</v>
      </c>
      <c r="AZ22" s="335" t="s">
        <v>2114</v>
      </c>
      <c r="BA22" s="320" t="s">
        <v>2098</v>
      </c>
      <c r="BC22" s="310">
        <f t="shared" si="46"/>
        <v>0</v>
      </c>
      <c r="BD22" s="310">
        <f t="shared" si="47"/>
        <v>0</v>
      </c>
      <c r="BE22" s="310">
        <v>0</v>
      </c>
      <c r="BF22" s="310">
        <f t="shared" si="48"/>
        <v>0.006</v>
      </c>
      <c r="BH22" s="310">
        <f t="shared" si="49"/>
        <v>0</v>
      </c>
      <c r="BI22" s="310">
        <f t="shared" si="50"/>
        <v>0</v>
      </c>
      <c r="BJ22" s="310">
        <f t="shared" si="51"/>
        <v>0</v>
      </c>
      <c r="BK22" s="310"/>
      <c r="BL22" s="310"/>
    </row>
    <row r="23" spans="1:64" ht="15" customHeight="1">
      <c r="A23" s="286" t="s">
        <v>195</v>
      </c>
      <c r="B23" s="287" t="s">
        <v>2051</v>
      </c>
      <c r="C23" s="287" t="s">
        <v>2116</v>
      </c>
      <c r="D23" s="504" t="s">
        <v>2105</v>
      </c>
      <c r="E23" s="504"/>
      <c r="F23" s="287" t="s">
        <v>467</v>
      </c>
      <c r="G23" s="310">
        <v>2</v>
      </c>
      <c r="H23" s="310">
        <v>0</v>
      </c>
      <c r="I23" s="310">
        <f t="shared" si="26"/>
        <v>0</v>
      </c>
      <c r="J23" s="310">
        <f t="shared" si="27"/>
        <v>0</v>
      </c>
      <c r="K23" s="310">
        <f t="shared" si="28"/>
        <v>0</v>
      </c>
      <c r="L23" s="310">
        <v>0.001</v>
      </c>
      <c r="M23" s="310">
        <f t="shared" si="29"/>
        <v>0.002</v>
      </c>
      <c r="N23" s="334" t="s">
        <v>2112</v>
      </c>
      <c r="Z23" s="310">
        <f t="shared" si="30"/>
        <v>0</v>
      </c>
      <c r="AB23" s="310">
        <f t="shared" si="31"/>
        <v>0</v>
      </c>
      <c r="AC23" s="310">
        <f t="shared" si="32"/>
        <v>0</v>
      </c>
      <c r="AD23" s="310">
        <f t="shared" si="33"/>
        <v>0</v>
      </c>
      <c r="AE23" s="310">
        <f t="shared" si="34"/>
        <v>0</v>
      </c>
      <c r="AF23" s="310">
        <f t="shared" si="35"/>
        <v>0</v>
      </c>
      <c r="AG23" s="310">
        <f t="shared" si="36"/>
        <v>0</v>
      </c>
      <c r="AH23" s="310">
        <f t="shared" si="37"/>
        <v>0</v>
      </c>
      <c r="AI23" s="320" t="s">
        <v>2051</v>
      </c>
      <c r="AJ23" s="310">
        <f t="shared" si="38"/>
        <v>0</v>
      </c>
      <c r="AK23" s="310">
        <f t="shared" si="39"/>
        <v>0</v>
      </c>
      <c r="AL23" s="310">
        <f t="shared" si="40"/>
        <v>0</v>
      </c>
      <c r="AN23" s="310">
        <v>21</v>
      </c>
      <c r="AO23" s="310">
        <f t="shared" si="41"/>
        <v>0</v>
      </c>
      <c r="AP23" s="310">
        <f t="shared" si="42"/>
        <v>0</v>
      </c>
      <c r="AQ23" s="335" t="s">
        <v>76</v>
      </c>
      <c r="AV23" s="310">
        <f t="shared" si="43"/>
        <v>0</v>
      </c>
      <c r="AW23" s="310">
        <f t="shared" si="44"/>
        <v>0</v>
      </c>
      <c r="AX23" s="310">
        <f t="shared" si="45"/>
        <v>0</v>
      </c>
      <c r="AY23" s="335" t="s">
        <v>2113</v>
      </c>
      <c r="AZ23" s="335" t="s">
        <v>2114</v>
      </c>
      <c r="BA23" s="320" t="s">
        <v>2098</v>
      </c>
      <c r="BC23" s="310">
        <f t="shared" si="46"/>
        <v>0</v>
      </c>
      <c r="BD23" s="310">
        <f t="shared" si="47"/>
        <v>0</v>
      </c>
      <c r="BE23" s="310">
        <v>0</v>
      </c>
      <c r="BF23" s="310">
        <f t="shared" si="48"/>
        <v>0.002</v>
      </c>
      <c r="BH23" s="310">
        <f t="shared" si="49"/>
        <v>0</v>
      </c>
      <c r="BI23" s="310">
        <f t="shared" si="50"/>
        <v>0</v>
      </c>
      <c r="BJ23" s="310">
        <f t="shared" si="51"/>
        <v>0</v>
      </c>
      <c r="BK23" s="310"/>
      <c r="BL23" s="310"/>
    </row>
    <row r="24" spans="1:64" ht="15" customHeight="1">
      <c r="A24" s="286" t="s">
        <v>201</v>
      </c>
      <c r="B24" s="287" t="s">
        <v>2051</v>
      </c>
      <c r="C24" s="287" t="s">
        <v>2117</v>
      </c>
      <c r="D24" s="504" t="s">
        <v>2107</v>
      </c>
      <c r="E24" s="504"/>
      <c r="F24" s="287" t="s">
        <v>308</v>
      </c>
      <c r="G24" s="310">
        <v>7</v>
      </c>
      <c r="H24" s="310">
        <v>0</v>
      </c>
      <c r="I24" s="310">
        <f t="shared" si="26"/>
        <v>0</v>
      </c>
      <c r="J24" s="310">
        <f t="shared" si="27"/>
        <v>0</v>
      </c>
      <c r="K24" s="310">
        <f t="shared" si="28"/>
        <v>0</v>
      </c>
      <c r="L24" s="310">
        <v>0.001</v>
      </c>
      <c r="M24" s="310">
        <f t="shared" si="29"/>
        <v>0.007</v>
      </c>
      <c r="N24" s="334" t="s">
        <v>2112</v>
      </c>
      <c r="Z24" s="310">
        <f t="shared" si="30"/>
        <v>0</v>
      </c>
      <c r="AB24" s="310">
        <f t="shared" si="31"/>
        <v>0</v>
      </c>
      <c r="AC24" s="310">
        <f t="shared" si="32"/>
        <v>0</v>
      </c>
      <c r="AD24" s="310">
        <f t="shared" si="33"/>
        <v>0</v>
      </c>
      <c r="AE24" s="310">
        <f t="shared" si="34"/>
        <v>0</v>
      </c>
      <c r="AF24" s="310">
        <f t="shared" si="35"/>
        <v>0</v>
      </c>
      <c r="AG24" s="310">
        <f t="shared" si="36"/>
        <v>0</v>
      </c>
      <c r="AH24" s="310">
        <f t="shared" si="37"/>
        <v>0</v>
      </c>
      <c r="AI24" s="320" t="s">
        <v>2051</v>
      </c>
      <c r="AJ24" s="310">
        <f t="shared" si="38"/>
        <v>0</v>
      </c>
      <c r="AK24" s="310">
        <f t="shared" si="39"/>
        <v>0</v>
      </c>
      <c r="AL24" s="310">
        <f t="shared" si="40"/>
        <v>0</v>
      </c>
      <c r="AN24" s="310">
        <v>21</v>
      </c>
      <c r="AO24" s="310">
        <f t="shared" si="41"/>
        <v>0</v>
      </c>
      <c r="AP24" s="310">
        <f t="shared" si="42"/>
        <v>0</v>
      </c>
      <c r="AQ24" s="335" t="s">
        <v>76</v>
      </c>
      <c r="AV24" s="310">
        <f t="shared" si="43"/>
        <v>0</v>
      </c>
      <c r="AW24" s="310">
        <f t="shared" si="44"/>
        <v>0</v>
      </c>
      <c r="AX24" s="310">
        <f t="shared" si="45"/>
        <v>0</v>
      </c>
      <c r="AY24" s="335" t="s">
        <v>2113</v>
      </c>
      <c r="AZ24" s="335" t="s">
        <v>2114</v>
      </c>
      <c r="BA24" s="320" t="s">
        <v>2098</v>
      </c>
      <c r="BC24" s="310">
        <f t="shared" si="46"/>
        <v>0</v>
      </c>
      <c r="BD24" s="310">
        <f t="shared" si="47"/>
        <v>0</v>
      </c>
      <c r="BE24" s="310">
        <v>0</v>
      </c>
      <c r="BF24" s="310">
        <f t="shared" si="48"/>
        <v>0.007</v>
      </c>
      <c r="BH24" s="310">
        <f t="shared" si="49"/>
        <v>0</v>
      </c>
      <c r="BI24" s="310">
        <f t="shared" si="50"/>
        <v>0</v>
      </c>
      <c r="BJ24" s="310">
        <f t="shared" si="51"/>
        <v>0</v>
      </c>
      <c r="BK24" s="310"/>
      <c r="BL24" s="310"/>
    </row>
    <row r="25" spans="1:64" ht="15" customHeight="1">
      <c r="A25" s="286" t="s">
        <v>208</v>
      </c>
      <c r="B25" s="287" t="s">
        <v>2051</v>
      </c>
      <c r="C25" s="287" t="s">
        <v>2118</v>
      </c>
      <c r="D25" s="504" t="s">
        <v>2119</v>
      </c>
      <c r="E25" s="504"/>
      <c r="F25" s="287" t="s">
        <v>467</v>
      </c>
      <c r="G25" s="310">
        <v>1523</v>
      </c>
      <c r="H25" s="310">
        <v>0</v>
      </c>
      <c r="I25" s="310">
        <f t="shared" si="26"/>
        <v>0</v>
      </c>
      <c r="J25" s="310">
        <f t="shared" si="27"/>
        <v>0</v>
      </c>
      <c r="K25" s="310">
        <f t="shared" si="28"/>
        <v>0</v>
      </c>
      <c r="L25" s="310">
        <v>0.001</v>
      </c>
      <c r="M25" s="310">
        <f t="shared" si="29"/>
        <v>1.5230000000000001</v>
      </c>
      <c r="N25" s="334" t="s">
        <v>2112</v>
      </c>
      <c r="Z25" s="310">
        <f t="shared" si="30"/>
        <v>0</v>
      </c>
      <c r="AB25" s="310">
        <f t="shared" si="31"/>
        <v>0</v>
      </c>
      <c r="AC25" s="310">
        <f t="shared" si="32"/>
        <v>0</v>
      </c>
      <c r="AD25" s="310">
        <f t="shared" si="33"/>
        <v>0</v>
      </c>
      <c r="AE25" s="310">
        <f t="shared" si="34"/>
        <v>0</v>
      </c>
      <c r="AF25" s="310">
        <f t="shared" si="35"/>
        <v>0</v>
      </c>
      <c r="AG25" s="310">
        <f t="shared" si="36"/>
        <v>0</v>
      </c>
      <c r="AH25" s="310">
        <f t="shared" si="37"/>
        <v>0</v>
      </c>
      <c r="AI25" s="320" t="s">
        <v>2051</v>
      </c>
      <c r="AJ25" s="310">
        <f t="shared" si="38"/>
        <v>0</v>
      </c>
      <c r="AK25" s="310">
        <f t="shared" si="39"/>
        <v>0</v>
      </c>
      <c r="AL25" s="310">
        <f t="shared" si="40"/>
        <v>0</v>
      </c>
      <c r="AN25" s="310">
        <v>21</v>
      </c>
      <c r="AO25" s="310">
        <f t="shared" si="41"/>
        <v>0</v>
      </c>
      <c r="AP25" s="310">
        <f t="shared" si="42"/>
        <v>0</v>
      </c>
      <c r="AQ25" s="335" t="s">
        <v>76</v>
      </c>
      <c r="AV25" s="310">
        <f t="shared" si="43"/>
        <v>0</v>
      </c>
      <c r="AW25" s="310">
        <f t="shared" si="44"/>
        <v>0</v>
      </c>
      <c r="AX25" s="310">
        <f t="shared" si="45"/>
        <v>0</v>
      </c>
      <c r="AY25" s="335" t="s">
        <v>2113</v>
      </c>
      <c r="AZ25" s="335" t="s">
        <v>2114</v>
      </c>
      <c r="BA25" s="320" t="s">
        <v>2098</v>
      </c>
      <c r="BC25" s="310">
        <f t="shared" si="46"/>
        <v>0</v>
      </c>
      <c r="BD25" s="310">
        <f t="shared" si="47"/>
        <v>0</v>
      </c>
      <c r="BE25" s="310">
        <v>0</v>
      </c>
      <c r="BF25" s="310">
        <f t="shared" si="48"/>
        <v>1.5230000000000001</v>
      </c>
      <c r="BH25" s="310">
        <f t="shared" si="49"/>
        <v>0</v>
      </c>
      <c r="BI25" s="310">
        <f t="shared" si="50"/>
        <v>0</v>
      </c>
      <c r="BJ25" s="310">
        <f t="shared" si="51"/>
        <v>0</v>
      </c>
      <c r="BK25" s="310"/>
      <c r="BL25" s="310"/>
    </row>
    <row r="26" spans="1:64" ht="15" customHeight="1">
      <c r="A26" s="286" t="s">
        <v>214</v>
      </c>
      <c r="B26" s="287" t="s">
        <v>2051</v>
      </c>
      <c r="C26" s="287" t="s">
        <v>2118</v>
      </c>
      <c r="D26" s="504" t="s">
        <v>2120</v>
      </c>
      <c r="E26" s="504"/>
      <c r="F26" s="287" t="s">
        <v>467</v>
      </c>
      <c r="G26" s="310">
        <v>2</v>
      </c>
      <c r="H26" s="310">
        <v>0</v>
      </c>
      <c r="I26" s="310">
        <f t="shared" si="26"/>
        <v>0</v>
      </c>
      <c r="J26" s="310">
        <f t="shared" si="27"/>
        <v>0</v>
      </c>
      <c r="K26" s="310">
        <f t="shared" si="28"/>
        <v>0</v>
      </c>
      <c r="L26" s="310">
        <v>0.001</v>
      </c>
      <c r="M26" s="310">
        <f t="shared" si="29"/>
        <v>0.002</v>
      </c>
      <c r="N26" s="334" t="s">
        <v>2112</v>
      </c>
      <c r="Z26" s="310">
        <f t="shared" si="30"/>
        <v>0</v>
      </c>
      <c r="AB26" s="310">
        <f t="shared" si="31"/>
        <v>0</v>
      </c>
      <c r="AC26" s="310">
        <f t="shared" si="32"/>
        <v>0</v>
      </c>
      <c r="AD26" s="310">
        <f t="shared" si="33"/>
        <v>0</v>
      </c>
      <c r="AE26" s="310">
        <f t="shared" si="34"/>
        <v>0</v>
      </c>
      <c r="AF26" s="310">
        <f t="shared" si="35"/>
        <v>0</v>
      </c>
      <c r="AG26" s="310">
        <f t="shared" si="36"/>
        <v>0</v>
      </c>
      <c r="AH26" s="310">
        <f t="shared" si="37"/>
        <v>0</v>
      </c>
      <c r="AI26" s="320" t="s">
        <v>2051</v>
      </c>
      <c r="AJ26" s="310">
        <f t="shared" si="38"/>
        <v>0</v>
      </c>
      <c r="AK26" s="310">
        <f t="shared" si="39"/>
        <v>0</v>
      </c>
      <c r="AL26" s="310">
        <f t="shared" si="40"/>
        <v>0</v>
      </c>
      <c r="AN26" s="310">
        <v>21</v>
      </c>
      <c r="AO26" s="310">
        <f t="shared" si="41"/>
        <v>0</v>
      </c>
      <c r="AP26" s="310">
        <f t="shared" si="42"/>
        <v>0</v>
      </c>
      <c r="AQ26" s="335" t="s">
        <v>76</v>
      </c>
      <c r="AV26" s="310">
        <f t="shared" si="43"/>
        <v>0</v>
      </c>
      <c r="AW26" s="310">
        <f t="shared" si="44"/>
        <v>0</v>
      </c>
      <c r="AX26" s="310">
        <f t="shared" si="45"/>
        <v>0</v>
      </c>
      <c r="AY26" s="335" t="s">
        <v>2113</v>
      </c>
      <c r="AZ26" s="335" t="s">
        <v>2114</v>
      </c>
      <c r="BA26" s="320" t="s">
        <v>2098</v>
      </c>
      <c r="BC26" s="310">
        <f t="shared" si="46"/>
        <v>0</v>
      </c>
      <c r="BD26" s="310">
        <f t="shared" si="47"/>
        <v>0</v>
      </c>
      <c r="BE26" s="310">
        <v>0</v>
      </c>
      <c r="BF26" s="310">
        <f t="shared" si="48"/>
        <v>0.002</v>
      </c>
      <c r="BH26" s="310">
        <f t="shared" si="49"/>
        <v>0</v>
      </c>
      <c r="BI26" s="310">
        <f t="shared" si="50"/>
        <v>0</v>
      </c>
      <c r="BJ26" s="310">
        <f t="shared" si="51"/>
        <v>0</v>
      </c>
      <c r="BK26" s="310"/>
      <c r="BL26" s="310"/>
    </row>
    <row r="27" spans="1:14" ht="15" customHeight="1">
      <c r="A27" s="329" t="s">
        <v>19</v>
      </c>
      <c r="B27" s="330" t="s">
        <v>2055</v>
      </c>
      <c r="C27" s="330" t="s">
        <v>19</v>
      </c>
      <c r="D27" s="553" t="s">
        <v>2056</v>
      </c>
      <c r="E27" s="553"/>
      <c r="F27" s="331" t="s">
        <v>39</v>
      </c>
      <c r="G27" s="331" t="s">
        <v>39</v>
      </c>
      <c r="H27" s="331" t="s">
        <v>39</v>
      </c>
      <c r="I27" s="332">
        <f>I28</f>
        <v>0</v>
      </c>
      <c r="J27" s="332">
        <f>J28</f>
        <v>0</v>
      </c>
      <c r="K27" s="332">
        <f>K28</f>
        <v>0</v>
      </c>
      <c r="L27" s="320" t="s">
        <v>19</v>
      </c>
      <c r="M27" s="332">
        <f>M28</f>
        <v>0</v>
      </c>
      <c r="N27" s="333" t="s">
        <v>19</v>
      </c>
    </row>
    <row r="28" spans="1:47" ht="15" customHeight="1">
      <c r="A28" s="329" t="s">
        <v>19</v>
      </c>
      <c r="B28" s="330" t="s">
        <v>2055</v>
      </c>
      <c r="C28" s="330" t="s">
        <v>2057</v>
      </c>
      <c r="D28" s="553" t="s">
        <v>2058</v>
      </c>
      <c r="E28" s="553"/>
      <c r="F28" s="331" t="s">
        <v>39</v>
      </c>
      <c r="G28" s="331" t="s">
        <v>39</v>
      </c>
      <c r="H28" s="331" t="s">
        <v>39</v>
      </c>
      <c r="I28" s="332">
        <f>SUM(I29:I29)</f>
        <v>0</v>
      </c>
      <c r="J28" s="332">
        <f>SUM(J29:J29)</f>
        <v>0</v>
      </c>
      <c r="K28" s="332">
        <f>SUM(K29:K29)</f>
        <v>0</v>
      </c>
      <c r="L28" s="320" t="s">
        <v>19</v>
      </c>
      <c r="M28" s="332">
        <f>SUM(M29:M29)</f>
        <v>0</v>
      </c>
      <c r="N28" s="333" t="s">
        <v>19</v>
      </c>
      <c r="AI28" s="320" t="s">
        <v>2055</v>
      </c>
      <c r="AS28" s="332">
        <f>SUM(AJ29:AJ29)</f>
        <v>0</v>
      </c>
      <c r="AT28" s="332">
        <f>SUM(AK29:AK29)</f>
        <v>0</v>
      </c>
      <c r="AU28" s="332">
        <f>SUM(AL29:AL29)</f>
        <v>0</v>
      </c>
    </row>
    <row r="29" spans="1:64" ht="15" customHeight="1">
      <c r="A29" s="286" t="s">
        <v>221</v>
      </c>
      <c r="B29" s="287" t="s">
        <v>2055</v>
      </c>
      <c r="C29" s="287" t="s">
        <v>2121</v>
      </c>
      <c r="D29" s="504" t="s">
        <v>2122</v>
      </c>
      <c r="E29" s="504"/>
      <c r="F29" s="287" t="s">
        <v>324</v>
      </c>
      <c r="G29" s="310">
        <v>5</v>
      </c>
      <c r="H29" s="310">
        <v>0</v>
      </c>
      <c r="I29" s="310">
        <f>G29*AO29</f>
        <v>0</v>
      </c>
      <c r="J29" s="310">
        <f>G29*AP29</f>
        <v>0</v>
      </c>
      <c r="K29" s="310">
        <f>G29*H29</f>
        <v>0</v>
      </c>
      <c r="L29" s="310">
        <v>0</v>
      </c>
      <c r="M29" s="310">
        <f>G29*L29</f>
        <v>0</v>
      </c>
      <c r="N29" s="334" t="s">
        <v>2095</v>
      </c>
      <c r="Z29" s="310">
        <f>IF(AQ29="5",BJ29,0)</f>
        <v>0</v>
      </c>
      <c r="AB29" s="310">
        <f>IF(AQ29="1",BH29,0)</f>
        <v>0</v>
      </c>
      <c r="AC29" s="310">
        <f>IF(AQ29="1",BI29,0)</f>
        <v>0</v>
      </c>
      <c r="AD29" s="310">
        <f>IF(AQ29="7",BH29,0)</f>
        <v>0</v>
      </c>
      <c r="AE29" s="310">
        <f>IF(AQ29="7",BI29,0)</f>
        <v>0</v>
      </c>
      <c r="AF29" s="310">
        <f>IF(AQ29="2",BH29,0)</f>
        <v>0</v>
      </c>
      <c r="AG29" s="310">
        <f>IF(AQ29="2",BI29,0)</f>
        <v>0</v>
      </c>
      <c r="AH29" s="310">
        <f>IF(AQ29="0",BJ29,0)</f>
        <v>0</v>
      </c>
      <c r="AI29" s="320" t="s">
        <v>2055</v>
      </c>
      <c r="AJ29" s="310">
        <f>IF(AN29=0,K29,0)</f>
        <v>0</v>
      </c>
      <c r="AK29" s="310">
        <f>IF(AN29=15,K29,0)</f>
        <v>0</v>
      </c>
      <c r="AL29" s="310">
        <f>IF(AN29=21,K29,0)</f>
        <v>0</v>
      </c>
      <c r="AN29" s="310">
        <v>21</v>
      </c>
      <c r="AO29" s="310">
        <f>H29*0</f>
        <v>0</v>
      </c>
      <c r="AP29" s="310">
        <f>H29*(1-0)</f>
        <v>0</v>
      </c>
      <c r="AQ29" s="335" t="s">
        <v>84</v>
      </c>
      <c r="AV29" s="310">
        <f>AW29+AX29</f>
        <v>0</v>
      </c>
      <c r="AW29" s="310">
        <f>G29*AO29</f>
        <v>0</v>
      </c>
      <c r="AX29" s="310">
        <f>G29*AP29</f>
        <v>0</v>
      </c>
      <c r="AY29" s="335" t="s">
        <v>2123</v>
      </c>
      <c r="AZ29" s="335" t="s">
        <v>2124</v>
      </c>
      <c r="BA29" s="320" t="s">
        <v>2125</v>
      </c>
      <c r="BC29" s="310">
        <f>AW29+AX29</f>
        <v>0</v>
      </c>
      <c r="BD29" s="310">
        <f>H29/(100-BE29)*100</f>
        <v>0</v>
      </c>
      <c r="BE29" s="310">
        <v>0</v>
      </c>
      <c r="BF29" s="310">
        <f>M29</f>
        <v>0</v>
      </c>
      <c r="BH29" s="310">
        <f>G29*AO29</f>
        <v>0</v>
      </c>
      <c r="BI29" s="310">
        <f>G29*AP29</f>
        <v>0</v>
      </c>
      <c r="BJ29" s="310">
        <f>G29*H29</f>
        <v>0</v>
      </c>
      <c r="BK29" s="310"/>
      <c r="BL29" s="310"/>
    </row>
    <row r="30" spans="1:14" ht="15" customHeight="1">
      <c r="A30" s="329" t="s">
        <v>19</v>
      </c>
      <c r="B30" s="330" t="s">
        <v>2059</v>
      </c>
      <c r="C30" s="330" t="s">
        <v>19</v>
      </c>
      <c r="D30" s="553" t="s">
        <v>2060</v>
      </c>
      <c r="E30" s="553"/>
      <c r="F30" s="331" t="s">
        <v>39</v>
      </c>
      <c r="G30" s="331" t="s">
        <v>39</v>
      </c>
      <c r="H30" s="331" t="s">
        <v>39</v>
      </c>
      <c r="I30" s="332">
        <f>I31+I36+I52</f>
        <v>0</v>
      </c>
      <c r="J30" s="332">
        <f>J31+J36+J52</f>
        <v>0</v>
      </c>
      <c r="K30" s="332">
        <f>K31+K36+K52</f>
        <v>0</v>
      </c>
      <c r="L30" s="320" t="s">
        <v>19</v>
      </c>
      <c r="M30" s="332">
        <f>M31+M36+M52</f>
        <v>1.71613</v>
      </c>
      <c r="N30" s="333" t="s">
        <v>19</v>
      </c>
    </row>
    <row r="31" spans="1:47" ht="15" customHeight="1">
      <c r="A31" s="329" t="s">
        <v>19</v>
      </c>
      <c r="B31" s="330" t="s">
        <v>2059</v>
      </c>
      <c r="C31" s="330" t="s">
        <v>768</v>
      </c>
      <c r="D31" s="553" t="s">
        <v>2061</v>
      </c>
      <c r="E31" s="553"/>
      <c r="F31" s="331" t="s">
        <v>39</v>
      </c>
      <c r="G31" s="331" t="s">
        <v>39</v>
      </c>
      <c r="H31" s="331" t="s">
        <v>39</v>
      </c>
      <c r="I31" s="332">
        <f>SUM(I32:I35)</f>
        <v>0</v>
      </c>
      <c r="J31" s="332">
        <f>SUM(J32:J35)</f>
        <v>0</v>
      </c>
      <c r="K31" s="332">
        <f>SUM(K32:K35)</f>
        <v>0</v>
      </c>
      <c r="L31" s="320" t="s">
        <v>19</v>
      </c>
      <c r="M31" s="332">
        <f>SUM(M32:M35)</f>
        <v>0</v>
      </c>
      <c r="N31" s="333" t="s">
        <v>19</v>
      </c>
      <c r="AI31" s="320" t="s">
        <v>2059</v>
      </c>
      <c r="AS31" s="332">
        <f>SUM(AJ32:AJ35)</f>
        <v>0</v>
      </c>
      <c r="AT31" s="332">
        <f>SUM(AK32:AK35)</f>
        <v>0</v>
      </c>
      <c r="AU31" s="332">
        <f>SUM(AL32:AL35)</f>
        <v>0</v>
      </c>
    </row>
    <row r="32" spans="1:64" ht="15" customHeight="1">
      <c r="A32" s="286" t="s">
        <v>225</v>
      </c>
      <c r="B32" s="287" t="s">
        <v>2059</v>
      </c>
      <c r="C32" s="287" t="s">
        <v>2126</v>
      </c>
      <c r="D32" s="504" t="s">
        <v>2127</v>
      </c>
      <c r="E32" s="504"/>
      <c r="F32" s="287" t="s">
        <v>2128</v>
      </c>
      <c r="G32" s="310">
        <v>16</v>
      </c>
      <c r="H32" s="310">
        <v>0</v>
      </c>
      <c r="I32" s="310">
        <f>G32*AO32</f>
        <v>0</v>
      </c>
      <c r="J32" s="310">
        <f>G32*AP32</f>
        <v>0</v>
      </c>
      <c r="K32" s="310">
        <f>G32*H32</f>
        <v>0</v>
      </c>
      <c r="L32" s="310">
        <v>0</v>
      </c>
      <c r="M32" s="310">
        <f>G32*L32</f>
        <v>0</v>
      </c>
      <c r="N32" s="334" t="s">
        <v>2095</v>
      </c>
      <c r="Z32" s="310">
        <f>IF(AQ32="5",BJ32,0)</f>
        <v>0</v>
      </c>
      <c r="AB32" s="310">
        <f>IF(AQ32="1",BH32,0)</f>
        <v>0</v>
      </c>
      <c r="AC32" s="310">
        <f>IF(AQ32="1",BI32,0)</f>
        <v>0</v>
      </c>
      <c r="AD32" s="310">
        <f>IF(AQ32="7",BH32,0)</f>
        <v>0</v>
      </c>
      <c r="AE32" s="310">
        <f>IF(AQ32="7",BI32,0)</f>
        <v>0</v>
      </c>
      <c r="AF32" s="310">
        <f>IF(AQ32="2",BH32,0)</f>
        <v>0</v>
      </c>
      <c r="AG32" s="310">
        <f>IF(AQ32="2",BI32,0)</f>
        <v>0</v>
      </c>
      <c r="AH32" s="310">
        <f>IF(AQ32="0",BJ32,0)</f>
        <v>0</v>
      </c>
      <c r="AI32" s="320" t="s">
        <v>2059</v>
      </c>
      <c r="AJ32" s="310">
        <f>IF(AN32=0,K32,0)</f>
        <v>0</v>
      </c>
      <c r="AK32" s="310">
        <f>IF(AN32=15,K32,0)</f>
        <v>0</v>
      </c>
      <c r="AL32" s="310">
        <f>IF(AN32=21,K32,0)</f>
        <v>0</v>
      </c>
      <c r="AN32" s="310">
        <v>21</v>
      </c>
      <c r="AO32" s="310">
        <f>H32*0</f>
        <v>0</v>
      </c>
      <c r="AP32" s="310">
        <f>H32*(1-0)</f>
        <v>0</v>
      </c>
      <c r="AQ32" s="335" t="s">
        <v>84</v>
      </c>
      <c r="AV32" s="310">
        <f>AW32+AX32</f>
        <v>0</v>
      </c>
      <c r="AW32" s="310">
        <f>G32*AO32</f>
        <v>0</v>
      </c>
      <c r="AX32" s="310">
        <f>G32*AP32</f>
        <v>0</v>
      </c>
      <c r="AY32" s="335" t="s">
        <v>2129</v>
      </c>
      <c r="AZ32" s="335" t="s">
        <v>2130</v>
      </c>
      <c r="BA32" s="320" t="s">
        <v>2131</v>
      </c>
      <c r="BC32" s="310">
        <f>AW32+AX32</f>
        <v>0</v>
      </c>
      <c r="BD32" s="310">
        <f>H32/(100-BE32)*100</f>
        <v>0</v>
      </c>
      <c r="BE32" s="310">
        <v>0</v>
      </c>
      <c r="BF32" s="310">
        <f>M32</f>
        <v>0</v>
      </c>
      <c r="BH32" s="310">
        <f>G32*AO32</f>
        <v>0</v>
      </c>
      <c r="BI32" s="310">
        <f>G32*AP32</f>
        <v>0</v>
      </c>
      <c r="BJ32" s="310">
        <f>G32*H32</f>
        <v>0</v>
      </c>
      <c r="BK32" s="310"/>
      <c r="BL32" s="310">
        <v>90</v>
      </c>
    </row>
    <row r="33" spans="1:64" ht="15" customHeight="1">
      <c r="A33" s="286" t="s">
        <v>8</v>
      </c>
      <c r="B33" s="287" t="s">
        <v>2059</v>
      </c>
      <c r="C33" s="287" t="s">
        <v>2132</v>
      </c>
      <c r="D33" s="504" t="s">
        <v>2133</v>
      </c>
      <c r="E33" s="504"/>
      <c r="F33" s="287" t="s">
        <v>2128</v>
      </c>
      <c r="G33" s="310">
        <v>8</v>
      </c>
      <c r="H33" s="310">
        <v>0</v>
      </c>
      <c r="I33" s="310">
        <f>G33*AO33</f>
        <v>0</v>
      </c>
      <c r="J33" s="310">
        <f>G33*AP33</f>
        <v>0</v>
      </c>
      <c r="K33" s="310">
        <f>G33*H33</f>
        <v>0</v>
      </c>
      <c r="L33" s="310">
        <v>0</v>
      </c>
      <c r="M33" s="310">
        <f>G33*L33</f>
        <v>0</v>
      </c>
      <c r="N33" s="334" t="s">
        <v>2095</v>
      </c>
      <c r="Z33" s="310">
        <f>IF(AQ33="5",BJ33,0)</f>
        <v>0</v>
      </c>
      <c r="AB33" s="310">
        <f>IF(AQ33="1",BH33,0)</f>
        <v>0</v>
      </c>
      <c r="AC33" s="310">
        <f>IF(AQ33="1",BI33,0)</f>
        <v>0</v>
      </c>
      <c r="AD33" s="310">
        <f>IF(AQ33="7",BH33,0)</f>
        <v>0</v>
      </c>
      <c r="AE33" s="310">
        <f>IF(AQ33="7",BI33,0)</f>
        <v>0</v>
      </c>
      <c r="AF33" s="310">
        <f>IF(AQ33="2",BH33,0)</f>
        <v>0</v>
      </c>
      <c r="AG33" s="310">
        <f>IF(AQ33="2",BI33,0)</f>
        <v>0</v>
      </c>
      <c r="AH33" s="310">
        <f>IF(AQ33="0",BJ33,0)</f>
        <v>0</v>
      </c>
      <c r="AI33" s="320" t="s">
        <v>2059</v>
      </c>
      <c r="AJ33" s="310">
        <f>IF(AN33=0,K33,0)</f>
        <v>0</v>
      </c>
      <c r="AK33" s="310">
        <f>IF(AN33=15,K33,0)</f>
        <v>0</v>
      </c>
      <c r="AL33" s="310">
        <f>IF(AN33=21,K33,0)</f>
        <v>0</v>
      </c>
      <c r="AN33" s="310">
        <v>21</v>
      </c>
      <c r="AO33" s="310">
        <f>H33*0</f>
        <v>0</v>
      </c>
      <c r="AP33" s="310">
        <f>H33*(1-0)</f>
        <v>0</v>
      </c>
      <c r="AQ33" s="335" t="s">
        <v>84</v>
      </c>
      <c r="AV33" s="310">
        <f>AW33+AX33</f>
        <v>0</v>
      </c>
      <c r="AW33" s="310">
        <f>G33*AO33</f>
        <v>0</v>
      </c>
      <c r="AX33" s="310">
        <f>G33*AP33</f>
        <v>0</v>
      </c>
      <c r="AY33" s="335" t="s">
        <v>2129</v>
      </c>
      <c r="AZ33" s="335" t="s">
        <v>2130</v>
      </c>
      <c r="BA33" s="320" t="s">
        <v>2131</v>
      </c>
      <c r="BC33" s="310">
        <f>AW33+AX33</f>
        <v>0</v>
      </c>
      <c r="BD33" s="310">
        <f>H33/(100-BE33)*100</f>
        <v>0</v>
      </c>
      <c r="BE33" s="310">
        <v>0</v>
      </c>
      <c r="BF33" s="310">
        <f>M33</f>
        <v>0</v>
      </c>
      <c r="BH33" s="310">
        <f>G33*AO33</f>
        <v>0</v>
      </c>
      <c r="BI33" s="310">
        <f>G33*AP33</f>
        <v>0</v>
      </c>
      <c r="BJ33" s="310">
        <f>G33*H33</f>
        <v>0</v>
      </c>
      <c r="BK33" s="310"/>
      <c r="BL33" s="310">
        <v>90</v>
      </c>
    </row>
    <row r="34" spans="1:64" ht="15" customHeight="1">
      <c r="A34" s="286" t="s">
        <v>330</v>
      </c>
      <c r="B34" s="287" t="s">
        <v>2059</v>
      </c>
      <c r="C34" s="287" t="s">
        <v>2134</v>
      </c>
      <c r="D34" s="504" t="s">
        <v>2135</v>
      </c>
      <c r="E34" s="504"/>
      <c r="F34" s="287" t="s">
        <v>2128</v>
      </c>
      <c r="G34" s="310">
        <v>8</v>
      </c>
      <c r="H34" s="310">
        <v>0</v>
      </c>
      <c r="I34" s="310">
        <f>G34*AO34</f>
        <v>0</v>
      </c>
      <c r="J34" s="310">
        <f>G34*AP34</f>
        <v>0</v>
      </c>
      <c r="K34" s="310">
        <f>G34*H34</f>
        <v>0</v>
      </c>
      <c r="L34" s="310">
        <v>0</v>
      </c>
      <c r="M34" s="310">
        <f>G34*L34</f>
        <v>0</v>
      </c>
      <c r="N34" s="334" t="s">
        <v>2095</v>
      </c>
      <c r="Z34" s="310">
        <f>IF(AQ34="5",BJ34,0)</f>
        <v>0</v>
      </c>
      <c r="AB34" s="310">
        <f>IF(AQ34="1",BH34,0)</f>
        <v>0</v>
      </c>
      <c r="AC34" s="310">
        <f>IF(AQ34="1",BI34,0)</f>
        <v>0</v>
      </c>
      <c r="AD34" s="310">
        <f>IF(AQ34="7",BH34,0)</f>
        <v>0</v>
      </c>
      <c r="AE34" s="310">
        <f>IF(AQ34="7",BI34,0)</f>
        <v>0</v>
      </c>
      <c r="AF34" s="310">
        <f>IF(AQ34="2",BH34,0)</f>
        <v>0</v>
      </c>
      <c r="AG34" s="310">
        <f>IF(AQ34="2",BI34,0)</f>
        <v>0</v>
      </c>
      <c r="AH34" s="310">
        <f>IF(AQ34="0",BJ34,0)</f>
        <v>0</v>
      </c>
      <c r="AI34" s="320" t="s">
        <v>2059</v>
      </c>
      <c r="AJ34" s="310">
        <f>IF(AN34=0,K34,0)</f>
        <v>0</v>
      </c>
      <c r="AK34" s="310">
        <f>IF(AN34=15,K34,0)</f>
        <v>0</v>
      </c>
      <c r="AL34" s="310">
        <f>IF(AN34=21,K34,0)</f>
        <v>0</v>
      </c>
      <c r="AN34" s="310">
        <v>21</v>
      </c>
      <c r="AO34" s="310">
        <f>H34*0</f>
        <v>0</v>
      </c>
      <c r="AP34" s="310">
        <f>H34*(1-0)</f>
        <v>0</v>
      </c>
      <c r="AQ34" s="335" t="s">
        <v>84</v>
      </c>
      <c r="AV34" s="310">
        <f>AW34+AX34</f>
        <v>0</v>
      </c>
      <c r="AW34" s="310">
        <f>G34*AO34</f>
        <v>0</v>
      </c>
      <c r="AX34" s="310">
        <f>G34*AP34</f>
        <v>0</v>
      </c>
      <c r="AY34" s="335" t="s">
        <v>2129</v>
      </c>
      <c r="AZ34" s="335" t="s">
        <v>2130</v>
      </c>
      <c r="BA34" s="320" t="s">
        <v>2131</v>
      </c>
      <c r="BC34" s="310">
        <f>AW34+AX34</f>
        <v>0</v>
      </c>
      <c r="BD34" s="310">
        <f>H34/(100-BE34)*100</f>
        <v>0</v>
      </c>
      <c r="BE34" s="310">
        <v>0</v>
      </c>
      <c r="BF34" s="310">
        <f>M34</f>
        <v>0</v>
      </c>
      <c r="BH34" s="310">
        <f>G34*AO34</f>
        <v>0</v>
      </c>
      <c r="BI34" s="310">
        <f>G34*AP34</f>
        <v>0</v>
      </c>
      <c r="BJ34" s="310">
        <f>G34*H34</f>
        <v>0</v>
      </c>
      <c r="BK34" s="310"/>
      <c r="BL34" s="310">
        <v>90</v>
      </c>
    </row>
    <row r="35" spans="1:64" ht="15" customHeight="1">
      <c r="A35" s="286" t="s">
        <v>336</v>
      </c>
      <c r="B35" s="287" t="s">
        <v>2059</v>
      </c>
      <c r="C35" s="287" t="s">
        <v>2134</v>
      </c>
      <c r="D35" s="504" t="s">
        <v>2136</v>
      </c>
      <c r="E35" s="504"/>
      <c r="F35" s="287" t="s">
        <v>2128</v>
      </c>
      <c r="G35" s="310">
        <v>4</v>
      </c>
      <c r="H35" s="310">
        <v>0</v>
      </c>
      <c r="I35" s="310">
        <f>G35*AO35</f>
        <v>0</v>
      </c>
      <c r="J35" s="310">
        <f>G35*AP35</f>
        <v>0</v>
      </c>
      <c r="K35" s="310">
        <f>G35*H35</f>
        <v>0</v>
      </c>
      <c r="L35" s="310">
        <v>0</v>
      </c>
      <c r="M35" s="310">
        <f>G35*L35</f>
        <v>0</v>
      </c>
      <c r="N35" s="334" t="s">
        <v>2095</v>
      </c>
      <c r="Z35" s="310">
        <f>IF(AQ35="5",BJ35,0)</f>
        <v>0</v>
      </c>
      <c r="AB35" s="310">
        <f>IF(AQ35="1",BH35,0)</f>
        <v>0</v>
      </c>
      <c r="AC35" s="310">
        <f>IF(AQ35="1",BI35,0)</f>
        <v>0</v>
      </c>
      <c r="AD35" s="310">
        <f>IF(AQ35="7",BH35,0)</f>
        <v>0</v>
      </c>
      <c r="AE35" s="310">
        <f>IF(AQ35="7",BI35,0)</f>
        <v>0</v>
      </c>
      <c r="AF35" s="310">
        <f>IF(AQ35="2",BH35,0)</f>
        <v>0</v>
      </c>
      <c r="AG35" s="310">
        <f>IF(AQ35="2",BI35,0)</f>
        <v>0</v>
      </c>
      <c r="AH35" s="310">
        <f>IF(AQ35="0",BJ35,0)</f>
        <v>0</v>
      </c>
      <c r="AI35" s="320" t="s">
        <v>2059</v>
      </c>
      <c r="AJ35" s="310">
        <f>IF(AN35=0,K35,0)</f>
        <v>0</v>
      </c>
      <c r="AK35" s="310">
        <f>IF(AN35=15,K35,0)</f>
        <v>0</v>
      </c>
      <c r="AL35" s="310">
        <f>IF(AN35=21,K35,0)</f>
        <v>0</v>
      </c>
      <c r="AN35" s="310">
        <v>21</v>
      </c>
      <c r="AO35" s="310">
        <f>H35*0</f>
        <v>0</v>
      </c>
      <c r="AP35" s="310">
        <f>H35*(1-0)</f>
        <v>0</v>
      </c>
      <c r="AQ35" s="335" t="s">
        <v>84</v>
      </c>
      <c r="AV35" s="310">
        <f>AW35+AX35</f>
        <v>0</v>
      </c>
      <c r="AW35" s="310">
        <f>G35*AO35</f>
        <v>0</v>
      </c>
      <c r="AX35" s="310">
        <f>G35*AP35</f>
        <v>0</v>
      </c>
      <c r="AY35" s="335" t="s">
        <v>2129</v>
      </c>
      <c r="AZ35" s="335" t="s">
        <v>2130</v>
      </c>
      <c r="BA35" s="320" t="s">
        <v>2131</v>
      </c>
      <c r="BC35" s="310">
        <f>AW35+AX35</f>
        <v>0</v>
      </c>
      <c r="BD35" s="310">
        <f>H35/(100-BE35)*100</f>
        <v>0</v>
      </c>
      <c r="BE35" s="310">
        <v>0</v>
      </c>
      <c r="BF35" s="310">
        <f>M35</f>
        <v>0</v>
      </c>
      <c r="BH35" s="310">
        <f>G35*AO35</f>
        <v>0</v>
      </c>
      <c r="BI35" s="310">
        <f>G35*AP35</f>
        <v>0</v>
      </c>
      <c r="BJ35" s="310">
        <f>G35*H35</f>
        <v>0</v>
      </c>
      <c r="BK35" s="310"/>
      <c r="BL35" s="310">
        <v>90</v>
      </c>
    </row>
    <row r="36" spans="1:47" ht="15" customHeight="1">
      <c r="A36" s="329" t="s">
        <v>19</v>
      </c>
      <c r="B36" s="330" t="s">
        <v>2059</v>
      </c>
      <c r="C36" s="330" t="s">
        <v>2059</v>
      </c>
      <c r="D36" s="553" t="s">
        <v>2060</v>
      </c>
      <c r="E36" s="553"/>
      <c r="F36" s="331" t="s">
        <v>39</v>
      </c>
      <c r="G36" s="331" t="s">
        <v>39</v>
      </c>
      <c r="H36" s="331" t="s">
        <v>39</v>
      </c>
      <c r="I36" s="332">
        <f>SUM(I37:I51)</f>
        <v>0</v>
      </c>
      <c r="J36" s="332">
        <f>SUM(J37:J51)</f>
        <v>0</v>
      </c>
      <c r="K36" s="332">
        <f>SUM(K37:K51)</f>
        <v>0</v>
      </c>
      <c r="L36" s="320" t="s">
        <v>19</v>
      </c>
      <c r="M36" s="332">
        <f>SUM(M37:M51)</f>
        <v>0</v>
      </c>
      <c r="N36" s="333" t="s">
        <v>19</v>
      </c>
      <c r="AI36" s="320" t="s">
        <v>2059</v>
      </c>
      <c r="AS36" s="332">
        <f>SUM(AJ37:AJ51)</f>
        <v>0</v>
      </c>
      <c r="AT36" s="332">
        <f>SUM(AK37:AK51)</f>
        <v>0</v>
      </c>
      <c r="AU36" s="332">
        <f>SUM(AL37:AL51)</f>
        <v>0</v>
      </c>
    </row>
    <row r="37" spans="1:64" ht="15" customHeight="1">
      <c r="A37" s="286" t="s">
        <v>343</v>
      </c>
      <c r="B37" s="287" t="s">
        <v>2059</v>
      </c>
      <c r="C37" s="287" t="s">
        <v>2137</v>
      </c>
      <c r="D37" s="504" t="s">
        <v>2138</v>
      </c>
      <c r="E37" s="504"/>
      <c r="F37" s="287" t="s">
        <v>308</v>
      </c>
      <c r="G37" s="310">
        <v>425</v>
      </c>
      <c r="H37" s="310">
        <v>0</v>
      </c>
      <c r="I37" s="310">
        <f aca="true" t="shared" si="52" ref="I37:I51">G37*AO37</f>
        <v>0</v>
      </c>
      <c r="J37" s="310">
        <f aca="true" t="shared" si="53" ref="J37:J51">G37*AP37</f>
        <v>0</v>
      </c>
      <c r="K37" s="310">
        <f aca="true" t="shared" si="54" ref="K37:K51">G37*H37</f>
        <v>0</v>
      </c>
      <c r="L37" s="310">
        <v>0</v>
      </c>
      <c r="M37" s="310">
        <f aca="true" t="shared" si="55" ref="M37:M51">G37*L37</f>
        <v>0</v>
      </c>
      <c r="N37" s="334" t="s">
        <v>2095</v>
      </c>
      <c r="Z37" s="310">
        <f aca="true" t="shared" si="56" ref="Z37:Z51">IF(AQ37="5",BJ37,0)</f>
        <v>0</v>
      </c>
      <c r="AB37" s="310">
        <f aca="true" t="shared" si="57" ref="AB37:AB51">IF(AQ37="1",BH37,0)</f>
        <v>0</v>
      </c>
      <c r="AC37" s="310">
        <f aca="true" t="shared" si="58" ref="AC37:AC51">IF(AQ37="1",BI37,0)</f>
        <v>0</v>
      </c>
      <c r="AD37" s="310">
        <f aca="true" t="shared" si="59" ref="AD37:AD51">IF(AQ37="7",BH37,0)</f>
        <v>0</v>
      </c>
      <c r="AE37" s="310">
        <f aca="true" t="shared" si="60" ref="AE37:AE51">IF(AQ37="7",BI37,0)</f>
        <v>0</v>
      </c>
      <c r="AF37" s="310">
        <f aca="true" t="shared" si="61" ref="AF37:AF51">IF(AQ37="2",BH37,0)</f>
        <v>0</v>
      </c>
      <c r="AG37" s="310">
        <f aca="true" t="shared" si="62" ref="AG37:AG51">IF(AQ37="2",BI37,0)</f>
        <v>0</v>
      </c>
      <c r="AH37" s="310">
        <f aca="true" t="shared" si="63" ref="AH37:AH51">IF(AQ37="0",BJ37,0)</f>
        <v>0</v>
      </c>
      <c r="AI37" s="320" t="s">
        <v>2059</v>
      </c>
      <c r="AJ37" s="310">
        <f aca="true" t="shared" si="64" ref="AJ37:AJ51">IF(AN37=0,K37,0)</f>
        <v>0</v>
      </c>
      <c r="AK37" s="310">
        <f aca="true" t="shared" si="65" ref="AK37:AK51">IF(AN37=15,K37,0)</f>
        <v>0</v>
      </c>
      <c r="AL37" s="310">
        <f aca="true" t="shared" si="66" ref="AL37:AL51">IF(AN37=21,K37,0)</f>
        <v>0</v>
      </c>
      <c r="AN37" s="310">
        <v>21</v>
      </c>
      <c r="AO37" s="310">
        <f aca="true" t="shared" si="67" ref="AO37:AO51">H37*0</f>
        <v>0</v>
      </c>
      <c r="AP37" s="310">
        <f aca="true" t="shared" si="68" ref="AP37:AP51">H37*(1-0)</f>
        <v>0</v>
      </c>
      <c r="AQ37" s="335" t="s">
        <v>86</v>
      </c>
      <c r="AV37" s="310">
        <f aca="true" t="shared" si="69" ref="AV37:AV51">AW37+AX37</f>
        <v>0</v>
      </c>
      <c r="AW37" s="310">
        <f aca="true" t="shared" si="70" ref="AW37:AW51">G37*AO37</f>
        <v>0</v>
      </c>
      <c r="AX37" s="310">
        <f aca="true" t="shared" si="71" ref="AX37:AX51">G37*AP37</f>
        <v>0</v>
      </c>
      <c r="AY37" s="335" t="s">
        <v>2131</v>
      </c>
      <c r="AZ37" s="335" t="s">
        <v>2130</v>
      </c>
      <c r="BA37" s="320" t="s">
        <v>2131</v>
      </c>
      <c r="BC37" s="310">
        <f aca="true" t="shared" si="72" ref="BC37:BC51">AW37+AX37</f>
        <v>0</v>
      </c>
      <c r="BD37" s="310">
        <f aca="true" t="shared" si="73" ref="BD37:BD51">H37/(100-BE37)*100</f>
        <v>0</v>
      </c>
      <c r="BE37" s="310">
        <v>0</v>
      </c>
      <c r="BF37" s="310">
        <f aca="true" t="shared" si="74" ref="BF37:BF51">M37</f>
        <v>0</v>
      </c>
      <c r="BH37" s="310">
        <f aca="true" t="shared" si="75" ref="BH37:BH51">G37*AO37</f>
        <v>0</v>
      </c>
      <c r="BI37" s="310">
        <f aca="true" t="shared" si="76" ref="BI37:BI51">G37*AP37</f>
        <v>0</v>
      </c>
      <c r="BJ37" s="310">
        <f aca="true" t="shared" si="77" ref="BJ37:BJ51">G37*H37</f>
        <v>0</v>
      </c>
      <c r="BK37" s="310"/>
      <c r="BL37" s="310"/>
    </row>
    <row r="38" spans="1:64" ht="15" customHeight="1">
      <c r="A38" s="286" t="s">
        <v>350</v>
      </c>
      <c r="B38" s="287" t="s">
        <v>2059</v>
      </c>
      <c r="C38" s="287" t="s">
        <v>2139</v>
      </c>
      <c r="D38" s="504" t="s">
        <v>2140</v>
      </c>
      <c r="E38" s="504"/>
      <c r="F38" s="287" t="s">
        <v>467</v>
      </c>
      <c r="G38" s="310">
        <v>60</v>
      </c>
      <c r="H38" s="310">
        <v>0</v>
      </c>
      <c r="I38" s="310">
        <f t="shared" si="52"/>
        <v>0</v>
      </c>
      <c r="J38" s="310">
        <f t="shared" si="53"/>
        <v>0</v>
      </c>
      <c r="K38" s="310">
        <f t="shared" si="54"/>
        <v>0</v>
      </c>
      <c r="L38" s="310">
        <v>0</v>
      </c>
      <c r="M38" s="310">
        <f t="shared" si="55"/>
        <v>0</v>
      </c>
      <c r="N38" s="334" t="s">
        <v>2095</v>
      </c>
      <c r="Z38" s="310">
        <f t="shared" si="56"/>
        <v>0</v>
      </c>
      <c r="AB38" s="310">
        <f t="shared" si="57"/>
        <v>0</v>
      </c>
      <c r="AC38" s="310">
        <f t="shared" si="58"/>
        <v>0</v>
      </c>
      <c r="AD38" s="310">
        <f t="shared" si="59"/>
        <v>0</v>
      </c>
      <c r="AE38" s="310">
        <f t="shared" si="60"/>
        <v>0</v>
      </c>
      <c r="AF38" s="310">
        <f t="shared" si="61"/>
        <v>0</v>
      </c>
      <c r="AG38" s="310">
        <f t="shared" si="62"/>
        <v>0</v>
      </c>
      <c r="AH38" s="310">
        <f t="shared" si="63"/>
        <v>0</v>
      </c>
      <c r="AI38" s="320" t="s">
        <v>2059</v>
      </c>
      <c r="AJ38" s="310">
        <f t="shared" si="64"/>
        <v>0</v>
      </c>
      <c r="AK38" s="310">
        <f t="shared" si="65"/>
        <v>0</v>
      </c>
      <c r="AL38" s="310">
        <f t="shared" si="66"/>
        <v>0</v>
      </c>
      <c r="AN38" s="310">
        <v>21</v>
      </c>
      <c r="AO38" s="310">
        <f t="shared" si="67"/>
        <v>0</v>
      </c>
      <c r="AP38" s="310">
        <f t="shared" si="68"/>
        <v>0</v>
      </c>
      <c r="AQ38" s="335" t="s">
        <v>86</v>
      </c>
      <c r="AV38" s="310">
        <f t="shared" si="69"/>
        <v>0</v>
      </c>
      <c r="AW38" s="310">
        <f t="shared" si="70"/>
        <v>0</v>
      </c>
      <c r="AX38" s="310">
        <f t="shared" si="71"/>
        <v>0</v>
      </c>
      <c r="AY38" s="335" t="s">
        <v>2131</v>
      </c>
      <c r="AZ38" s="335" t="s">
        <v>2130</v>
      </c>
      <c r="BA38" s="320" t="s">
        <v>2131</v>
      </c>
      <c r="BC38" s="310">
        <f t="shared" si="72"/>
        <v>0</v>
      </c>
      <c r="BD38" s="310">
        <f t="shared" si="73"/>
        <v>0</v>
      </c>
      <c r="BE38" s="310">
        <v>0</v>
      </c>
      <c r="BF38" s="310">
        <f t="shared" si="74"/>
        <v>0</v>
      </c>
      <c r="BH38" s="310">
        <f t="shared" si="75"/>
        <v>0</v>
      </c>
      <c r="BI38" s="310">
        <f t="shared" si="76"/>
        <v>0</v>
      </c>
      <c r="BJ38" s="310">
        <f t="shared" si="77"/>
        <v>0</v>
      </c>
      <c r="BK38" s="310"/>
      <c r="BL38" s="310"/>
    </row>
    <row r="39" spans="1:64" ht="15" customHeight="1">
      <c r="A39" s="286" t="s">
        <v>360</v>
      </c>
      <c r="B39" s="287" t="s">
        <v>2059</v>
      </c>
      <c r="C39" s="287" t="s">
        <v>2141</v>
      </c>
      <c r="D39" s="504" t="s">
        <v>2142</v>
      </c>
      <c r="E39" s="504"/>
      <c r="F39" s="287" t="s">
        <v>308</v>
      </c>
      <c r="G39" s="310">
        <v>489</v>
      </c>
      <c r="H39" s="310">
        <v>0</v>
      </c>
      <c r="I39" s="310">
        <f t="shared" si="52"/>
        <v>0</v>
      </c>
      <c r="J39" s="310">
        <f t="shared" si="53"/>
        <v>0</v>
      </c>
      <c r="K39" s="310">
        <f t="shared" si="54"/>
        <v>0</v>
      </c>
      <c r="L39" s="310">
        <v>0</v>
      </c>
      <c r="M39" s="310">
        <f t="shared" si="55"/>
        <v>0</v>
      </c>
      <c r="N39" s="334" t="s">
        <v>2095</v>
      </c>
      <c r="Z39" s="310">
        <f t="shared" si="56"/>
        <v>0</v>
      </c>
      <c r="AB39" s="310">
        <f t="shared" si="57"/>
        <v>0</v>
      </c>
      <c r="AC39" s="310">
        <f t="shared" si="58"/>
        <v>0</v>
      </c>
      <c r="AD39" s="310">
        <f t="shared" si="59"/>
        <v>0</v>
      </c>
      <c r="AE39" s="310">
        <f t="shared" si="60"/>
        <v>0</v>
      </c>
      <c r="AF39" s="310">
        <f t="shared" si="61"/>
        <v>0</v>
      </c>
      <c r="AG39" s="310">
        <f t="shared" si="62"/>
        <v>0</v>
      </c>
      <c r="AH39" s="310">
        <f t="shared" si="63"/>
        <v>0</v>
      </c>
      <c r="AI39" s="320" t="s">
        <v>2059</v>
      </c>
      <c r="AJ39" s="310">
        <f t="shared" si="64"/>
        <v>0</v>
      </c>
      <c r="AK39" s="310">
        <f t="shared" si="65"/>
        <v>0</v>
      </c>
      <c r="AL39" s="310">
        <f t="shared" si="66"/>
        <v>0</v>
      </c>
      <c r="AN39" s="310">
        <v>21</v>
      </c>
      <c r="AO39" s="310">
        <f t="shared" si="67"/>
        <v>0</v>
      </c>
      <c r="AP39" s="310">
        <f t="shared" si="68"/>
        <v>0</v>
      </c>
      <c r="AQ39" s="335" t="s">
        <v>86</v>
      </c>
      <c r="AV39" s="310">
        <f t="shared" si="69"/>
        <v>0</v>
      </c>
      <c r="AW39" s="310">
        <f t="shared" si="70"/>
        <v>0</v>
      </c>
      <c r="AX39" s="310">
        <f t="shared" si="71"/>
        <v>0</v>
      </c>
      <c r="AY39" s="335" t="s">
        <v>2131</v>
      </c>
      <c r="AZ39" s="335" t="s">
        <v>2130</v>
      </c>
      <c r="BA39" s="320" t="s">
        <v>2131</v>
      </c>
      <c r="BC39" s="310">
        <f t="shared" si="72"/>
        <v>0</v>
      </c>
      <c r="BD39" s="310">
        <f t="shared" si="73"/>
        <v>0</v>
      </c>
      <c r="BE39" s="310">
        <v>0</v>
      </c>
      <c r="BF39" s="310">
        <f t="shared" si="74"/>
        <v>0</v>
      </c>
      <c r="BH39" s="310">
        <f t="shared" si="75"/>
        <v>0</v>
      </c>
      <c r="BI39" s="310">
        <f t="shared" si="76"/>
        <v>0</v>
      </c>
      <c r="BJ39" s="310">
        <f t="shared" si="77"/>
        <v>0</v>
      </c>
      <c r="BK39" s="310"/>
      <c r="BL39" s="310"/>
    </row>
    <row r="40" spans="1:64" ht="15" customHeight="1">
      <c r="A40" s="286" t="s">
        <v>7</v>
      </c>
      <c r="B40" s="287" t="s">
        <v>2059</v>
      </c>
      <c r="C40" s="287" t="s">
        <v>2143</v>
      </c>
      <c r="D40" s="504" t="s">
        <v>2144</v>
      </c>
      <c r="E40" s="504"/>
      <c r="F40" s="287" t="s">
        <v>467</v>
      </c>
      <c r="G40" s="310">
        <v>36</v>
      </c>
      <c r="H40" s="310">
        <v>0</v>
      </c>
      <c r="I40" s="310">
        <f t="shared" si="52"/>
        <v>0</v>
      </c>
      <c r="J40" s="310">
        <f t="shared" si="53"/>
        <v>0</v>
      </c>
      <c r="K40" s="310">
        <f t="shared" si="54"/>
        <v>0</v>
      </c>
      <c r="L40" s="310">
        <v>0</v>
      </c>
      <c r="M40" s="310">
        <f t="shared" si="55"/>
        <v>0</v>
      </c>
      <c r="N40" s="334" t="s">
        <v>2095</v>
      </c>
      <c r="Z40" s="310">
        <f t="shared" si="56"/>
        <v>0</v>
      </c>
      <c r="AB40" s="310">
        <f t="shared" si="57"/>
        <v>0</v>
      </c>
      <c r="AC40" s="310">
        <f t="shared" si="58"/>
        <v>0</v>
      </c>
      <c r="AD40" s="310">
        <f t="shared" si="59"/>
        <v>0</v>
      </c>
      <c r="AE40" s="310">
        <f t="shared" si="60"/>
        <v>0</v>
      </c>
      <c r="AF40" s="310">
        <f t="shared" si="61"/>
        <v>0</v>
      </c>
      <c r="AG40" s="310">
        <f t="shared" si="62"/>
        <v>0</v>
      </c>
      <c r="AH40" s="310">
        <f t="shared" si="63"/>
        <v>0</v>
      </c>
      <c r="AI40" s="320" t="s">
        <v>2059</v>
      </c>
      <c r="AJ40" s="310">
        <f t="shared" si="64"/>
        <v>0</v>
      </c>
      <c r="AK40" s="310">
        <f t="shared" si="65"/>
        <v>0</v>
      </c>
      <c r="AL40" s="310">
        <f t="shared" si="66"/>
        <v>0</v>
      </c>
      <c r="AN40" s="310">
        <v>21</v>
      </c>
      <c r="AO40" s="310">
        <f t="shared" si="67"/>
        <v>0</v>
      </c>
      <c r="AP40" s="310">
        <f t="shared" si="68"/>
        <v>0</v>
      </c>
      <c r="AQ40" s="335" t="s">
        <v>86</v>
      </c>
      <c r="AV40" s="310">
        <f t="shared" si="69"/>
        <v>0</v>
      </c>
      <c r="AW40" s="310">
        <f t="shared" si="70"/>
        <v>0</v>
      </c>
      <c r="AX40" s="310">
        <f t="shared" si="71"/>
        <v>0</v>
      </c>
      <c r="AY40" s="335" t="s">
        <v>2131</v>
      </c>
      <c r="AZ40" s="335" t="s">
        <v>2130</v>
      </c>
      <c r="BA40" s="320" t="s">
        <v>2131</v>
      </c>
      <c r="BC40" s="310">
        <f t="shared" si="72"/>
        <v>0</v>
      </c>
      <c r="BD40" s="310">
        <f t="shared" si="73"/>
        <v>0</v>
      </c>
      <c r="BE40" s="310">
        <v>0</v>
      </c>
      <c r="BF40" s="310">
        <f t="shared" si="74"/>
        <v>0</v>
      </c>
      <c r="BH40" s="310">
        <f t="shared" si="75"/>
        <v>0</v>
      </c>
      <c r="BI40" s="310">
        <f t="shared" si="76"/>
        <v>0</v>
      </c>
      <c r="BJ40" s="310">
        <f t="shared" si="77"/>
        <v>0</v>
      </c>
      <c r="BK40" s="310"/>
      <c r="BL40" s="310"/>
    </row>
    <row r="41" spans="1:64" ht="15" customHeight="1">
      <c r="A41" s="286" t="s">
        <v>377</v>
      </c>
      <c r="B41" s="287" t="s">
        <v>2059</v>
      </c>
      <c r="C41" s="287" t="s">
        <v>2145</v>
      </c>
      <c r="D41" s="504" t="s">
        <v>2146</v>
      </c>
      <c r="E41" s="504"/>
      <c r="F41" s="287" t="s">
        <v>467</v>
      </c>
      <c r="G41" s="310">
        <v>32</v>
      </c>
      <c r="H41" s="310">
        <v>0</v>
      </c>
      <c r="I41" s="310">
        <f t="shared" si="52"/>
        <v>0</v>
      </c>
      <c r="J41" s="310">
        <f t="shared" si="53"/>
        <v>0</v>
      </c>
      <c r="K41" s="310">
        <f t="shared" si="54"/>
        <v>0</v>
      </c>
      <c r="L41" s="310">
        <v>0</v>
      </c>
      <c r="M41" s="310">
        <f t="shared" si="55"/>
        <v>0</v>
      </c>
      <c r="N41" s="334" t="s">
        <v>2095</v>
      </c>
      <c r="Z41" s="310">
        <f t="shared" si="56"/>
        <v>0</v>
      </c>
      <c r="AB41" s="310">
        <f t="shared" si="57"/>
        <v>0</v>
      </c>
      <c r="AC41" s="310">
        <f t="shared" si="58"/>
        <v>0</v>
      </c>
      <c r="AD41" s="310">
        <f t="shared" si="59"/>
        <v>0</v>
      </c>
      <c r="AE41" s="310">
        <f t="shared" si="60"/>
        <v>0</v>
      </c>
      <c r="AF41" s="310">
        <f t="shared" si="61"/>
        <v>0</v>
      </c>
      <c r="AG41" s="310">
        <f t="shared" si="62"/>
        <v>0</v>
      </c>
      <c r="AH41" s="310">
        <f t="shared" si="63"/>
        <v>0</v>
      </c>
      <c r="AI41" s="320" t="s">
        <v>2059</v>
      </c>
      <c r="AJ41" s="310">
        <f t="shared" si="64"/>
        <v>0</v>
      </c>
      <c r="AK41" s="310">
        <f t="shared" si="65"/>
        <v>0</v>
      </c>
      <c r="AL41" s="310">
        <f t="shared" si="66"/>
        <v>0</v>
      </c>
      <c r="AN41" s="310">
        <v>21</v>
      </c>
      <c r="AO41" s="310">
        <f t="shared" si="67"/>
        <v>0</v>
      </c>
      <c r="AP41" s="310">
        <f t="shared" si="68"/>
        <v>0</v>
      </c>
      <c r="AQ41" s="335" t="s">
        <v>86</v>
      </c>
      <c r="AV41" s="310">
        <f t="shared" si="69"/>
        <v>0</v>
      </c>
      <c r="AW41" s="310">
        <f t="shared" si="70"/>
        <v>0</v>
      </c>
      <c r="AX41" s="310">
        <f t="shared" si="71"/>
        <v>0</v>
      </c>
      <c r="AY41" s="335" t="s">
        <v>2131</v>
      </c>
      <c r="AZ41" s="335" t="s">
        <v>2130</v>
      </c>
      <c r="BA41" s="320" t="s">
        <v>2131</v>
      </c>
      <c r="BC41" s="310">
        <f t="shared" si="72"/>
        <v>0</v>
      </c>
      <c r="BD41" s="310">
        <f t="shared" si="73"/>
        <v>0</v>
      </c>
      <c r="BE41" s="310">
        <v>0</v>
      </c>
      <c r="BF41" s="310">
        <f t="shared" si="74"/>
        <v>0</v>
      </c>
      <c r="BH41" s="310">
        <f t="shared" si="75"/>
        <v>0</v>
      </c>
      <c r="BI41" s="310">
        <f t="shared" si="76"/>
        <v>0</v>
      </c>
      <c r="BJ41" s="310">
        <f t="shared" si="77"/>
        <v>0</v>
      </c>
      <c r="BK41" s="310"/>
      <c r="BL41" s="310"/>
    </row>
    <row r="42" spans="1:64" ht="15" customHeight="1">
      <c r="A42" s="286" t="s">
        <v>384</v>
      </c>
      <c r="B42" s="287" t="s">
        <v>2059</v>
      </c>
      <c r="C42" s="287" t="s">
        <v>2147</v>
      </c>
      <c r="D42" s="504" t="s">
        <v>2148</v>
      </c>
      <c r="E42" s="504"/>
      <c r="F42" s="287" t="s">
        <v>308</v>
      </c>
      <c r="G42" s="310">
        <v>108</v>
      </c>
      <c r="H42" s="310">
        <v>0</v>
      </c>
      <c r="I42" s="310">
        <f t="shared" si="52"/>
        <v>0</v>
      </c>
      <c r="J42" s="310">
        <f t="shared" si="53"/>
        <v>0</v>
      </c>
      <c r="K42" s="310">
        <f t="shared" si="54"/>
        <v>0</v>
      </c>
      <c r="L42" s="310">
        <v>0</v>
      </c>
      <c r="M42" s="310">
        <f t="shared" si="55"/>
        <v>0</v>
      </c>
      <c r="N42" s="334" t="s">
        <v>2095</v>
      </c>
      <c r="Z42" s="310">
        <f t="shared" si="56"/>
        <v>0</v>
      </c>
      <c r="AB42" s="310">
        <f t="shared" si="57"/>
        <v>0</v>
      </c>
      <c r="AC42" s="310">
        <f t="shared" si="58"/>
        <v>0</v>
      </c>
      <c r="AD42" s="310">
        <f t="shared" si="59"/>
        <v>0</v>
      </c>
      <c r="AE42" s="310">
        <f t="shared" si="60"/>
        <v>0</v>
      </c>
      <c r="AF42" s="310">
        <f t="shared" si="61"/>
        <v>0</v>
      </c>
      <c r="AG42" s="310">
        <f t="shared" si="62"/>
        <v>0</v>
      </c>
      <c r="AH42" s="310">
        <f t="shared" si="63"/>
        <v>0</v>
      </c>
      <c r="AI42" s="320" t="s">
        <v>2059</v>
      </c>
      <c r="AJ42" s="310">
        <f t="shared" si="64"/>
        <v>0</v>
      </c>
      <c r="AK42" s="310">
        <f t="shared" si="65"/>
        <v>0</v>
      </c>
      <c r="AL42" s="310">
        <f t="shared" si="66"/>
        <v>0</v>
      </c>
      <c r="AN42" s="310">
        <v>21</v>
      </c>
      <c r="AO42" s="310">
        <f t="shared" si="67"/>
        <v>0</v>
      </c>
      <c r="AP42" s="310">
        <f t="shared" si="68"/>
        <v>0</v>
      </c>
      <c r="AQ42" s="335" t="s">
        <v>86</v>
      </c>
      <c r="AV42" s="310">
        <f t="shared" si="69"/>
        <v>0</v>
      </c>
      <c r="AW42" s="310">
        <f t="shared" si="70"/>
        <v>0</v>
      </c>
      <c r="AX42" s="310">
        <f t="shared" si="71"/>
        <v>0</v>
      </c>
      <c r="AY42" s="335" t="s">
        <v>2131</v>
      </c>
      <c r="AZ42" s="335" t="s">
        <v>2130</v>
      </c>
      <c r="BA42" s="320" t="s">
        <v>2131</v>
      </c>
      <c r="BC42" s="310">
        <f t="shared" si="72"/>
        <v>0</v>
      </c>
      <c r="BD42" s="310">
        <f t="shared" si="73"/>
        <v>0</v>
      </c>
      <c r="BE42" s="310">
        <v>0</v>
      </c>
      <c r="BF42" s="310">
        <f t="shared" si="74"/>
        <v>0</v>
      </c>
      <c r="BH42" s="310">
        <f t="shared" si="75"/>
        <v>0</v>
      </c>
      <c r="BI42" s="310">
        <f t="shared" si="76"/>
        <v>0</v>
      </c>
      <c r="BJ42" s="310">
        <f t="shared" si="77"/>
        <v>0</v>
      </c>
      <c r="BK42" s="310"/>
      <c r="BL42" s="310"/>
    </row>
    <row r="43" spans="1:64" ht="15" customHeight="1">
      <c r="A43" s="286" t="s">
        <v>389</v>
      </c>
      <c r="B43" s="287" t="s">
        <v>2059</v>
      </c>
      <c r="C43" s="287" t="s">
        <v>2149</v>
      </c>
      <c r="D43" s="504" t="s">
        <v>2150</v>
      </c>
      <c r="E43" s="504"/>
      <c r="F43" s="287" t="s">
        <v>308</v>
      </c>
      <c r="G43" s="310">
        <v>489</v>
      </c>
      <c r="H43" s="310">
        <v>0</v>
      </c>
      <c r="I43" s="310">
        <f t="shared" si="52"/>
        <v>0</v>
      </c>
      <c r="J43" s="310">
        <f t="shared" si="53"/>
        <v>0</v>
      </c>
      <c r="K43" s="310">
        <f t="shared" si="54"/>
        <v>0</v>
      </c>
      <c r="L43" s="310">
        <v>0</v>
      </c>
      <c r="M43" s="310">
        <f t="shared" si="55"/>
        <v>0</v>
      </c>
      <c r="N43" s="334" t="s">
        <v>2095</v>
      </c>
      <c r="Z43" s="310">
        <f t="shared" si="56"/>
        <v>0</v>
      </c>
      <c r="AB43" s="310">
        <f t="shared" si="57"/>
        <v>0</v>
      </c>
      <c r="AC43" s="310">
        <f t="shared" si="58"/>
        <v>0</v>
      </c>
      <c r="AD43" s="310">
        <f t="shared" si="59"/>
        <v>0</v>
      </c>
      <c r="AE43" s="310">
        <f t="shared" si="60"/>
        <v>0</v>
      </c>
      <c r="AF43" s="310">
        <f t="shared" si="61"/>
        <v>0</v>
      </c>
      <c r="AG43" s="310">
        <f t="shared" si="62"/>
        <v>0</v>
      </c>
      <c r="AH43" s="310">
        <f t="shared" si="63"/>
        <v>0</v>
      </c>
      <c r="AI43" s="320" t="s">
        <v>2059</v>
      </c>
      <c r="AJ43" s="310">
        <f t="shared" si="64"/>
        <v>0</v>
      </c>
      <c r="AK43" s="310">
        <f t="shared" si="65"/>
        <v>0</v>
      </c>
      <c r="AL43" s="310">
        <f t="shared" si="66"/>
        <v>0</v>
      </c>
      <c r="AN43" s="310">
        <v>21</v>
      </c>
      <c r="AO43" s="310">
        <f t="shared" si="67"/>
        <v>0</v>
      </c>
      <c r="AP43" s="310">
        <f t="shared" si="68"/>
        <v>0</v>
      </c>
      <c r="AQ43" s="335" t="s">
        <v>86</v>
      </c>
      <c r="AV43" s="310">
        <f t="shared" si="69"/>
        <v>0</v>
      </c>
      <c r="AW43" s="310">
        <f t="shared" si="70"/>
        <v>0</v>
      </c>
      <c r="AX43" s="310">
        <f t="shared" si="71"/>
        <v>0</v>
      </c>
      <c r="AY43" s="335" t="s">
        <v>2131</v>
      </c>
      <c r="AZ43" s="335" t="s">
        <v>2130</v>
      </c>
      <c r="BA43" s="320" t="s">
        <v>2131</v>
      </c>
      <c r="BC43" s="310">
        <f t="shared" si="72"/>
        <v>0</v>
      </c>
      <c r="BD43" s="310">
        <f t="shared" si="73"/>
        <v>0</v>
      </c>
      <c r="BE43" s="310">
        <v>0</v>
      </c>
      <c r="BF43" s="310">
        <f t="shared" si="74"/>
        <v>0</v>
      </c>
      <c r="BH43" s="310">
        <f t="shared" si="75"/>
        <v>0</v>
      </c>
      <c r="BI43" s="310">
        <f t="shared" si="76"/>
        <v>0</v>
      </c>
      <c r="BJ43" s="310">
        <f t="shared" si="77"/>
        <v>0</v>
      </c>
      <c r="BK43" s="310"/>
      <c r="BL43" s="310"/>
    </row>
    <row r="44" spans="1:64" ht="15" customHeight="1">
      <c r="A44" s="286" t="s">
        <v>397</v>
      </c>
      <c r="B44" s="287" t="s">
        <v>2059</v>
      </c>
      <c r="C44" s="287" t="s">
        <v>2151</v>
      </c>
      <c r="D44" s="504" t="s">
        <v>2152</v>
      </c>
      <c r="E44" s="504"/>
      <c r="F44" s="287" t="s">
        <v>467</v>
      </c>
      <c r="G44" s="310">
        <v>16</v>
      </c>
      <c r="H44" s="310">
        <v>0</v>
      </c>
      <c r="I44" s="310">
        <f t="shared" si="52"/>
        <v>0</v>
      </c>
      <c r="J44" s="310">
        <f t="shared" si="53"/>
        <v>0</v>
      </c>
      <c r="K44" s="310">
        <f t="shared" si="54"/>
        <v>0</v>
      </c>
      <c r="L44" s="310">
        <v>0</v>
      </c>
      <c r="M44" s="310">
        <f t="shared" si="55"/>
        <v>0</v>
      </c>
      <c r="N44" s="334" t="s">
        <v>2095</v>
      </c>
      <c r="Z44" s="310">
        <f t="shared" si="56"/>
        <v>0</v>
      </c>
      <c r="AB44" s="310">
        <f t="shared" si="57"/>
        <v>0</v>
      </c>
      <c r="AC44" s="310">
        <f t="shared" si="58"/>
        <v>0</v>
      </c>
      <c r="AD44" s="310">
        <f t="shared" si="59"/>
        <v>0</v>
      </c>
      <c r="AE44" s="310">
        <f t="shared" si="60"/>
        <v>0</v>
      </c>
      <c r="AF44" s="310">
        <f t="shared" si="61"/>
        <v>0</v>
      </c>
      <c r="AG44" s="310">
        <f t="shared" si="62"/>
        <v>0</v>
      </c>
      <c r="AH44" s="310">
        <f t="shared" si="63"/>
        <v>0</v>
      </c>
      <c r="AI44" s="320" t="s">
        <v>2059</v>
      </c>
      <c r="AJ44" s="310">
        <f t="shared" si="64"/>
        <v>0</v>
      </c>
      <c r="AK44" s="310">
        <f t="shared" si="65"/>
        <v>0</v>
      </c>
      <c r="AL44" s="310">
        <f t="shared" si="66"/>
        <v>0</v>
      </c>
      <c r="AN44" s="310">
        <v>21</v>
      </c>
      <c r="AO44" s="310">
        <f t="shared" si="67"/>
        <v>0</v>
      </c>
      <c r="AP44" s="310">
        <f t="shared" si="68"/>
        <v>0</v>
      </c>
      <c r="AQ44" s="335" t="s">
        <v>86</v>
      </c>
      <c r="AV44" s="310">
        <f t="shared" si="69"/>
        <v>0</v>
      </c>
      <c r="AW44" s="310">
        <f t="shared" si="70"/>
        <v>0</v>
      </c>
      <c r="AX44" s="310">
        <f t="shared" si="71"/>
        <v>0</v>
      </c>
      <c r="AY44" s="335" t="s">
        <v>2131</v>
      </c>
      <c r="AZ44" s="335" t="s">
        <v>2130</v>
      </c>
      <c r="BA44" s="320" t="s">
        <v>2131</v>
      </c>
      <c r="BC44" s="310">
        <f t="shared" si="72"/>
        <v>0</v>
      </c>
      <c r="BD44" s="310">
        <f t="shared" si="73"/>
        <v>0</v>
      </c>
      <c r="BE44" s="310">
        <v>0</v>
      </c>
      <c r="BF44" s="310">
        <f t="shared" si="74"/>
        <v>0</v>
      </c>
      <c r="BH44" s="310">
        <f t="shared" si="75"/>
        <v>0</v>
      </c>
      <c r="BI44" s="310">
        <f t="shared" si="76"/>
        <v>0</v>
      </c>
      <c r="BJ44" s="310">
        <f t="shared" si="77"/>
        <v>0</v>
      </c>
      <c r="BK44" s="310"/>
      <c r="BL44" s="310"/>
    </row>
    <row r="45" spans="1:64" ht="15" customHeight="1">
      <c r="A45" s="286" t="s">
        <v>403</v>
      </c>
      <c r="B45" s="287" t="s">
        <v>2059</v>
      </c>
      <c r="C45" s="287" t="s">
        <v>2153</v>
      </c>
      <c r="D45" s="504" t="s">
        <v>2154</v>
      </c>
      <c r="E45" s="504"/>
      <c r="F45" s="287" t="s">
        <v>467</v>
      </c>
      <c r="G45" s="310">
        <v>10</v>
      </c>
      <c r="H45" s="310">
        <v>0</v>
      </c>
      <c r="I45" s="310">
        <f t="shared" si="52"/>
        <v>0</v>
      </c>
      <c r="J45" s="310">
        <f t="shared" si="53"/>
        <v>0</v>
      </c>
      <c r="K45" s="310">
        <f t="shared" si="54"/>
        <v>0</v>
      </c>
      <c r="L45" s="310">
        <v>0</v>
      </c>
      <c r="M45" s="310">
        <f t="shared" si="55"/>
        <v>0</v>
      </c>
      <c r="N45" s="334" t="s">
        <v>2095</v>
      </c>
      <c r="Z45" s="310">
        <f t="shared" si="56"/>
        <v>0</v>
      </c>
      <c r="AB45" s="310">
        <f t="shared" si="57"/>
        <v>0</v>
      </c>
      <c r="AC45" s="310">
        <f t="shared" si="58"/>
        <v>0</v>
      </c>
      <c r="AD45" s="310">
        <f t="shared" si="59"/>
        <v>0</v>
      </c>
      <c r="AE45" s="310">
        <f t="shared" si="60"/>
        <v>0</v>
      </c>
      <c r="AF45" s="310">
        <f t="shared" si="61"/>
        <v>0</v>
      </c>
      <c r="AG45" s="310">
        <f t="shared" si="62"/>
        <v>0</v>
      </c>
      <c r="AH45" s="310">
        <f t="shared" si="63"/>
        <v>0</v>
      </c>
      <c r="AI45" s="320" t="s">
        <v>2059</v>
      </c>
      <c r="AJ45" s="310">
        <f t="shared" si="64"/>
        <v>0</v>
      </c>
      <c r="AK45" s="310">
        <f t="shared" si="65"/>
        <v>0</v>
      </c>
      <c r="AL45" s="310">
        <f t="shared" si="66"/>
        <v>0</v>
      </c>
      <c r="AN45" s="310">
        <v>21</v>
      </c>
      <c r="AO45" s="310">
        <f t="shared" si="67"/>
        <v>0</v>
      </c>
      <c r="AP45" s="310">
        <f t="shared" si="68"/>
        <v>0</v>
      </c>
      <c r="AQ45" s="335" t="s">
        <v>86</v>
      </c>
      <c r="AV45" s="310">
        <f t="shared" si="69"/>
        <v>0</v>
      </c>
      <c r="AW45" s="310">
        <f t="shared" si="70"/>
        <v>0</v>
      </c>
      <c r="AX45" s="310">
        <f t="shared" si="71"/>
        <v>0</v>
      </c>
      <c r="AY45" s="335" t="s">
        <v>2131</v>
      </c>
      <c r="AZ45" s="335" t="s">
        <v>2130</v>
      </c>
      <c r="BA45" s="320" t="s">
        <v>2131</v>
      </c>
      <c r="BC45" s="310">
        <f t="shared" si="72"/>
        <v>0</v>
      </c>
      <c r="BD45" s="310">
        <f t="shared" si="73"/>
        <v>0</v>
      </c>
      <c r="BE45" s="310">
        <v>0</v>
      </c>
      <c r="BF45" s="310">
        <f t="shared" si="74"/>
        <v>0</v>
      </c>
      <c r="BH45" s="310">
        <f t="shared" si="75"/>
        <v>0</v>
      </c>
      <c r="BI45" s="310">
        <f t="shared" si="76"/>
        <v>0</v>
      </c>
      <c r="BJ45" s="310">
        <f t="shared" si="77"/>
        <v>0</v>
      </c>
      <c r="BK45" s="310"/>
      <c r="BL45" s="310"/>
    </row>
    <row r="46" spans="1:64" ht="15" customHeight="1">
      <c r="A46" s="286" t="s">
        <v>409</v>
      </c>
      <c r="B46" s="287" t="s">
        <v>2059</v>
      </c>
      <c r="C46" s="287" t="s">
        <v>2155</v>
      </c>
      <c r="D46" s="504" t="s">
        <v>2156</v>
      </c>
      <c r="E46" s="504"/>
      <c r="F46" s="287" t="s">
        <v>467</v>
      </c>
      <c r="G46" s="310">
        <v>16</v>
      </c>
      <c r="H46" s="310">
        <v>0</v>
      </c>
      <c r="I46" s="310">
        <f t="shared" si="52"/>
        <v>0</v>
      </c>
      <c r="J46" s="310">
        <f t="shared" si="53"/>
        <v>0</v>
      </c>
      <c r="K46" s="310">
        <f t="shared" si="54"/>
        <v>0</v>
      </c>
      <c r="L46" s="310">
        <v>0</v>
      </c>
      <c r="M46" s="310">
        <f t="shared" si="55"/>
        <v>0</v>
      </c>
      <c r="N46" s="334" t="s">
        <v>2095</v>
      </c>
      <c r="Z46" s="310">
        <f t="shared" si="56"/>
        <v>0</v>
      </c>
      <c r="AB46" s="310">
        <f t="shared" si="57"/>
        <v>0</v>
      </c>
      <c r="AC46" s="310">
        <f t="shared" si="58"/>
        <v>0</v>
      </c>
      <c r="AD46" s="310">
        <f t="shared" si="59"/>
        <v>0</v>
      </c>
      <c r="AE46" s="310">
        <f t="shared" si="60"/>
        <v>0</v>
      </c>
      <c r="AF46" s="310">
        <f t="shared" si="61"/>
        <v>0</v>
      </c>
      <c r="AG46" s="310">
        <f t="shared" si="62"/>
        <v>0</v>
      </c>
      <c r="AH46" s="310">
        <f t="shared" si="63"/>
        <v>0</v>
      </c>
      <c r="AI46" s="320" t="s">
        <v>2059</v>
      </c>
      <c r="AJ46" s="310">
        <f t="shared" si="64"/>
        <v>0</v>
      </c>
      <c r="AK46" s="310">
        <f t="shared" si="65"/>
        <v>0</v>
      </c>
      <c r="AL46" s="310">
        <f t="shared" si="66"/>
        <v>0</v>
      </c>
      <c r="AN46" s="310">
        <v>21</v>
      </c>
      <c r="AO46" s="310">
        <f t="shared" si="67"/>
        <v>0</v>
      </c>
      <c r="AP46" s="310">
        <f t="shared" si="68"/>
        <v>0</v>
      </c>
      <c r="AQ46" s="335" t="s">
        <v>86</v>
      </c>
      <c r="AV46" s="310">
        <f t="shared" si="69"/>
        <v>0</v>
      </c>
      <c r="AW46" s="310">
        <f t="shared" si="70"/>
        <v>0</v>
      </c>
      <c r="AX46" s="310">
        <f t="shared" si="71"/>
        <v>0</v>
      </c>
      <c r="AY46" s="335" t="s">
        <v>2131</v>
      </c>
      <c r="AZ46" s="335" t="s">
        <v>2130</v>
      </c>
      <c r="BA46" s="320" t="s">
        <v>2131</v>
      </c>
      <c r="BC46" s="310">
        <f t="shared" si="72"/>
        <v>0</v>
      </c>
      <c r="BD46" s="310">
        <f t="shared" si="73"/>
        <v>0</v>
      </c>
      <c r="BE46" s="310">
        <v>0</v>
      </c>
      <c r="BF46" s="310">
        <f t="shared" si="74"/>
        <v>0</v>
      </c>
      <c r="BH46" s="310">
        <f t="shared" si="75"/>
        <v>0</v>
      </c>
      <c r="BI46" s="310">
        <f t="shared" si="76"/>
        <v>0</v>
      </c>
      <c r="BJ46" s="310">
        <f t="shared" si="77"/>
        <v>0</v>
      </c>
      <c r="BK46" s="310"/>
      <c r="BL46" s="310"/>
    </row>
    <row r="47" spans="1:64" ht="15" customHeight="1">
      <c r="A47" s="286" t="s">
        <v>416</v>
      </c>
      <c r="B47" s="287" t="s">
        <v>2059</v>
      </c>
      <c r="C47" s="287" t="s">
        <v>2157</v>
      </c>
      <c r="D47" s="504" t="s">
        <v>2158</v>
      </c>
      <c r="E47" s="504"/>
      <c r="F47" s="287" t="s">
        <v>467</v>
      </c>
      <c r="G47" s="310">
        <v>2</v>
      </c>
      <c r="H47" s="310">
        <v>0</v>
      </c>
      <c r="I47" s="310">
        <f t="shared" si="52"/>
        <v>0</v>
      </c>
      <c r="J47" s="310">
        <f t="shared" si="53"/>
        <v>0</v>
      </c>
      <c r="K47" s="310">
        <f t="shared" si="54"/>
        <v>0</v>
      </c>
      <c r="L47" s="310">
        <v>0</v>
      </c>
      <c r="M47" s="310">
        <f t="shared" si="55"/>
        <v>0</v>
      </c>
      <c r="N47" s="334" t="s">
        <v>2095</v>
      </c>
      <c r="Z47" s="310">
        <f t="shared" si="56"/>
        <v>0</v>
      </c>
      <c r="AB47" s="310">
        <f t="shared" si="57"/>
        <v>0</v>
      </c>
      <c r="AC47" s="310">
        <f t="shared" si="58"/>
        <v>0</v>
      </c>
      <c r="AD47" s="310">
        <f t="shared" si="59"/>
        <v>0</v>
      </c>
      <c r="AE47" s="310">
        <f t="shared" si="60"/>
        <v>0</v>
      </c>
      <c r="AF47" s="310">
        <f t="shared" si="61"/>
        <v>0</v>
      </c>
      <c r="AG47" s="310">
        <f t="shared" si="62"/>
        <v>0</v>
      </c>
      <c r="AH47" s="310">
        <f t="shared" si="63"/>
        <v>0</v>
      </c>
      <c r="AI47" s="320" t="s">
        <v>2059</v>
      </c>
      <c r="AJ47" s="310">
        <f t="shared" si="64"/>
        <v>0</v>
      </c>
      <c r="AK47" s="310">
        <f t="shared" si="65"/>
        <v>0</v>
      </c>
      <c r="AL47" s="310">
        <f t="shared" si="66"/>
        <v>0</v>
      </c>
      <c r="AN47" s="310">
        <v>21</v>
      </c>
      <c r="AO47" s="310">
        <f t="shared" si="67"/>
        <v>0</v>
      </c>
      <c r="AP47" s="310">
        <f t="shared" si="68"/>
        <v>0</v>
      </c>
      <c r="AQ47" s="335" t="s">
        <v>86</v>
      </c>
      <c r="AV47" s="310">
        <f t="shared" si="69"/>
        <v>0</v>
      </c>
      <c r="AW47" s="310">
        <f t="shared" si="70"/>
        <v>0</v>
      </c>
      <c r="AX47" s="310">
        <f t="shared" si="71"/>
        <v>0</v>
      </c>
      <c r="AY47" s="335" t="s">
        <v>2131</v>
      </c>
      <c r="AZ47" s="335" t="s">
        <v>2130</v>
      </c>
      <c r="BA47" s="320" t="s">
        <v>2131</v>
      </c>
      <c r="BC47" s="310">
        <f t="shared" si="72"/>
        <v>0</v>
      </c>
      <c r="BD47" s="310">
        <f t="shared" si="73"/>
        <v>0</v>
      </c>
      <c r="BE47" s="310">
        <v>0</v>
      </c>
      <c r="BF47" s="310">
        <f t="shared" si="74"/>
        <v>0</v>
      </c>
      <c r="BH47" s="310">
        <f t="shared" si="75"/>
        <v>0</v>
      </c>
      <c r="BI47" s="310">
        <f t="shared" si="76"/>
        <v>0</v>
      </c>
      <c r="BJ47" s="310">
        <f t="shared" si="77"/>
        <v>0</v>
      </c>
      <c r="BK47" s="310"/>
      <c r="BL47" s="310"/>
    </row>
    <row r="48" spans="1:64" ht="15" customHeight="1">
      <c r="A48" s="286" t="s">
        <v>422</v>
      </c>
      <c r="B48" s="287" t="s">
        <v>2059</v>
      </c>
      <c r="C48" s="287" t="s">
        <v>2159</v>
      </c>
      <c r="D48" s="504" t="s">
        <v>2160</v>
      </c>
      <c r="E48" s="504"/>
      <c r="F48" s="287" t="s">
        <v>467</v>
      </c>
      <c r="G48" s="310">
        <v>10</v>
      </c>
      <c r="H48" s="310">
        <v>0</v>
      </c>
      <c r="I48" s="310">
        <f t="shared" si="52"/>
        <v>0</v>
      </c>
      <c r="J48" s="310">
        <f t="shared" si="53"/>
        <v>0</v>
      </c>
      <c r="K48" s="310">
        <f t="shared" si="54"/>
        <v>0</v>
      </c>
      <c r="L48" s="310">
        <v>0</v>
      </c>
      <c r="M48" s="310">
        <f t="shared" si="55"/>
        <v>0</v>
      </c>
      <c r="N48" s="334" t="s">
        <v>2095</v>
      </c>
      <c r="Z48" s="310">
        <f t="shared" si="56"/>
        <v>0</v>
      </c>
      <c r="AB48" s="310">
        <f t="shared" si="57"/>
        <v>0</v>
      </c>
      <c r="AC48" s="310">
        <f t="shared" si="58"/>
        <v>0</v>
      </c>
      <c r="AD48" s="310">
        <f t="shared" si="59"/>
        <v>0</v>
      </c>
      <c r="AE48" s="310">
        <f t="shared" si="60"/>
        <v>0</v>
      </c>
      <c r="AF48" s="310">
        <f t="shared" si="61"/>
        <v>0</v>
      </c>
      <c r="AG48" s="310">
        <f t="shared" si="62"/>
        <v>0</v>
      </c>
      <c r="AH48" s="310">
        <f t="shared" si="63"/>
        <v>0</v>
      </c>
      <c r="AI48" s="320" t="s">
        <v>2059</v>
      </c>
      <c r="AJ48" s="310">
        <f t="shared" si="64"/>
        <v>0</v>
      </c>
      <c r="AK48" s="310">
        <f t="shared" si="65"/>
        <v>0</v>
      </c>
      <c r="AL48" s="310">
        <f t="shared" si="66"/>
        <v>0</v>
      </c>
      <c r="AN48" s="310">
        <v>21</v>
      </c>
      <c r="AO48" s="310">
        <f t="shared" si="67"/>
        <v>0</v>
      </c>
      <c r="AP48" s="310">
        <f t="shared" si="68"/>
        <v>0</v>
      </c>
      <c r="AQ48" s="335" t="s">
        <v>86</v>
      </c>
      <c r="AV48" s="310">
        <f t="shared" si="69"/>
        <v>0</v>
      </c>
      <c r="AW48" s="310">
        <f t="shared" si="70"/>
        <v>0</v>
      </c>
      <c r="AX48" s="310">
        <f t="shared" si="71"/>
        <v>0</v>
      </c>
      <c r="AY48" s="335" t="s">
        <v>2131</v>
      </c>
      <c r="AZ48" s="335" t="s">
        <v>2130</v>
      </c>
      <c r="BA48" s="320" t="s">
        <v>2131</v>
      </c>
      <c r="BC48" s="310">
        <f t="shared" si="72"/>
        <v>0</v>
      </c>
      <c r="BD48" s="310">
        <f t="shared" si="73"/>
        <v>0</v>
      </c>
      <c r="BE48" s="310">
        <v>0</v>
      </c>
      <c r="BF48" s="310">
        <f t="shared" si="74"/>
        <v>0</v>
      </c>
      <c r="BH48" s="310">
        <f t="shared" si="75"/>
        <v>0</v>
      </c>
      <c r="BI48" s="310">
        <f t="shared" si="76"/>
        <v>0</v>
      </c>
      <c r="BJ48" s="310">
        <f t="shared" si="77"/>
        <v>0</v>
      </c>
      <c r="BK48" s="310"/>
      <c r="BL48" s="310"/>
    </row>
    <row r="49" spans="1:64" ht="15" customHeight="1">
      <c r="A49" s="286" t="s">
        <v>429</v>
      </c>
      <c r="B49" s="287" t="s">
        <v>2059</v>
      </c>
      <c r="C49" s="287" t="s">
        <v>2161</v>
      </c>
      <c r="D49" s="504" t="s">
        <v>2162</v>
      </c>
      <c r="E49" s="504"/>
      <c r="F49" s="287" t="s">
        <v>467</v>
      </c>
      <c r="G49" s="310">
        <v>18</v>
      </c>
      <c r="H49" s="310">
        <v>0</v>
      </c>
      <c r="I49" s="310">
        <f t="shared" si="52"/>
        <v>0</v>
      </c>
      <c r="J49" s="310">
        <f t="shared" si="53"/>
        <v>0</v>
      </c>
      <c r="K49" s="310">
        <f t="shared" si="54"/>
        <v>0</v>
      </c>
      <c r="L49" s="310">
        <v>0</v>
      </c>
      <c r="M49" s="310">
        <f t="shared" si="55"/>
        <v>0</v>
      </c>
      <c r="N49" s="334" t="s">
        <v>2095</v>
      </c>
      <c r="Z49" s="310">
        <f t="shared" si="56"/>
        <v>0</v>
      </c>
      <c r="AB49" s="310">
        <f t="shared" si="57"/>
        <v>0</v>
      </c>
      <c r="AC49" s="310">
        <f t="shared" si="58"/>
        <v>0</v>
      </c>
      <c r="AD49" s="310">
        <f t="shared" si="59"/>
        <v>0</v>
      </c>
      <c r="AE49" s="310">
        <f t="shared" si="60"/>
        <v>0</v>
      </c>
      <c r="AF49" s="310">
        <f t="shared" si="61"/>
        <v>0</v>
      </c>
      <c r="AG49" s="310">
        <f t="shared" si="62"/>
        <v>0</v>
      </c>
      <c r="AH49" s="310">
        <f t="shared" si="63"/>
        <v>0</v>
      </c>
      <c r="AI49" s="320" t="s">
        <v>2059</v>
      </c>
      <c r="AJ49" s="310">
        <f t="shared" si="64"/>
        <v>0</v>
      </c>
      <c r="AK49" s="310">
        <f t="shared" si="65"/>
        <v>0</v>
      </c>
      <c r="AL49" s="310">
        <f t="shared" si="66"/>
        <v>0</v>
      </c>
      <c r="AN49" s="310">
        <v>21</v>
      </c>
      <c r="AO49" s="310">
        <f t="shared" si="67"/>
        <v>0</v>
      </c>
      <c r="AP49" s="310">
        <f t="shared" si="68"/>
        <v>0</v>
      </c>
      <c r="AQ49" s="335" t="s">
        <v>86</v>
      </c>
      <c r="AV49" s="310">
        <f t="shared" si="69"/>
        <v>0</v>
      </c>
      <c r="AW49" s="310">
        <f t="shared" si="70"/>
        <v>0</v>
      </c>
      <c r="AX49" s="310">
        <f t="shared" si="71"/>
        <v>0</v>
      </c>
      <c r="AY49" s="335" t="s">
        <v>2131</v>
      </c>
      <c r="AZ49" s="335" t="s">
        <v>2130</v>
      </c>
      <c r="BA49" s="320" t="s">
        <v>2131</v>
      </c>
      <c r="BC49" s="310">
        <f t="shared" si="72"/>
        <v>0</v>
      </c>
      <c r="BD49" s="310">
        <f t="shared" si="73"/>
        <v>0</v>
      </c>
      <c r="BE49" s="310">
        <v>0</v>
      </c>
      <c r="BF49" s="310">
        <f t="shared" si="74"/>
        <v>0</v>
      </c>
      <c r="BH49" s="310">
        <f t="shared" si="75"/>
        <v>0</v>
      </c>
      <c r="BI49" s="310">
        <f t="shared" si="76"/>
        <v>0</v>
      </c>
      <c r="BJ49" s="310">
        <f t="shared" si="77"/>
        <v>0</v>
      </c>
      <c r="BK49" s="310"/>
      <c r="BL49" s="310"/>
    </row>
    <row r="50" spans="1:64" ht="15" customHeight="1">
      <c r="A50" s="286" t="s">
        <v>438</v>
      </c>
      <c r="B50" s="287" t="s">
        <v>2059</v>
      </c>
      <c r="C50" s="287" t="s">
        <v>2145</v>
      </c>
      <c r="D50" s="504" t="s">
        <v>2163</v>
      </c>
      <c r="E50" s="504"/>
      <c r="F50" s="287" t="s">
        <v>467</v>
      </c>
      <c r="G50" s="310">
        <v>20</v>
      </c>
      <c r="H50" s="310">
        <v>0</v>
      </c>
      <c r="I50" s="310">
        <f t="shared" si="52"/>
        <v>0</v>
      </c>
      <c r="J50" s="310">
        <f t="shared" si="53"/>
        <v>0</v>
      </c>
      <c r="K50" s="310">
        <f t="shared" si="54"/>
        <v>0</v>
      </c>
      <c r="L50" s="310">
        <v>0</v>
      </c>
      <c r="M50" s="310">
        <f t="shared" si="55"/>
        <v>0</v>
      </c>
      <c r="N50" s="334" t="s">
        <v>2095</v>
      </c>
      <c r="Z50" s="310">
        <f t="shared" si="56"/>
        <v>0</v>
      </c>
      <c r="AB50" s="310">
        <f t="shared" si="57"/>
        <v>0</v>
      </c>
      <c r="AC50" s="310">
        <f t="shared" si="58"/>
        <v>0</v>
      </c>
      <c r="AD50" s="310">
        <f t="shared" si="59"/>
        <v>0</v>
      </c>
      <c r="AE50" s="310">
        <f t="shared" si="60"/>
        <v>0</v>
      </c>
      <c r="AF50" s="310">
        <f t="shared" si="61"/>
        <v>0</v>
      </c>
      <c r="AG50" s="310">
        <f t="shared" si="62"/>
        <v>0</v>
      </c>
      <c r="AH50" s="310">
        <f t="shared" si="63"/>
        <v>0</v>
      </c>
      <c r="AI50" s="320" t="s">
        <v>2059</v>
      </c>
      <c r="AJ50" s="310">
        <f t="shared" si="64"/>
        <v>0</v>
      </c>
      <c r="AK50" s="310">
        <f t="shared" si="65"/>
        <v>0</v>
      </c>
      <c r="AL50" s="310">
        <f t="shared" si="66"/>
        <v>0</v>
      </c>
      <c r="AN50" s="310">
        <v>21</v>
      </c>
      <c r="AO50" s="310">
        <f t="shared" si="67"/>
        <v>0</v>
      </c>
      <c r="AP50" s="310">
        <f t="shared" si="68"/>
        <v>0</v>
      </c>
      <c r="AQ50" s="335" t="s">
        <v>86</v>
      </c>
      <c r="AV50" s="310">
        <f t="shared" si="69"/>
        <v>0</v>
      </c>
      <c r="AW50" s="310">
        <f t="shared" si="70"/>
        <v>0</v>
      </c>
      <c r="AX50" s="310">
        <f t="shared" si="71"/>
        <v>0</v>
      </c>
      <c r="AY50" s="335" t="s">
        <v>2131</v>
      </c>
      <c r="AZ50" s="335" t="s">
        <v>2130</v>
      </c>
      <c r="BA50" s="320" t="s">
        <v>2131</v>
      </c>
      <c r="BC50" s="310">
        <f t="shared" si="72"/>
        <v>0</v>
      </c>
      <c r="BD50" s="310">
        <f t="shared" si="73"/>
        <v>0</v>
      </c>
      <c r="BE50" s="310">
        <v>0</v>
      </c>
      <c r="BF50" s="310">
        <f t="shared" si="74"/>
        <v>0</v>
      </c>
      <c r="BH50" s="310">
        <f t="shared" si="75"/>
        <v>0</v>
      </c>
      <c r="BI50" s="310">
        <f t="shared" si="76"/>
        <v>0</v>
      </c>
      <c r="BJ50" s="310">
        <f t="shared" si="77"/>
        <v>0</v>
      </c>
      <c r="BK50" s="310"/>
      <c r="BL50" s="310"/>
    </row>
    <row r="51" spans="1:64" ht="15" customHeight="1">
      <c r="A51" s="286" t="s">
        <v>447</v>
      </c>
      <c r="B51" s="287" t="s">
        <v>2059</v>
      </c>
      <c r="C51" s="287" t="s">
        <v>2164</v>
      </c>
      <c r="D51" s="504" t="s">
        <v>2165</v>
      </c>
      <c r="E51" s="504"/>
      <c r="F51" s="287" t="s">
        <v>308</v>
      </c>
      <c r="G51" s="310">
        <v>242</v>
      </c>
      <c r="H51" s="310">
        <v>0</v>
      </c>
      <c r="I51" s="310">
        <f t="shared" si="52"/>
        <v>0</v>
      </c>
      <c r="J51" s="310">
        <f t="shared" si="53"/>
        <v>0</v>
      </c>
      <c r="K51" s="310">
        <f t="shared" si="54"/>
        <v>0</v>
      </c>
      <c r="L51" s="310">
        <v>0</v>
      </c>
      <c r="M51" s="310">
        <f t="shared" si="55"/>
        <v>0</v>
      </c>
      <c r="N51" s="334" t="s">
        <v>2095</v>
      </c>
      <c r="Z51" s="310">
        <f t="shared" si="56"/>
        <v>0</v>
      </c>
      <c r="AB51" s="310">
        <f t="shared" si="57"/>
        <v>0</v>
      </c>
      <c r="AC51" s="310">
        <f t="shared" si="58"/>
        <v>0</v>
      </c>
      <c r="AD51" s="310">
        <f t="shared" si="59"/>
        <v>0</v>
      </c>
      <c r="AE51" s="310">
        <f t="shared" si="60"/>
        <v>0</v>
      </c>
      <c r="AF51" s="310">
        <f t="shared" si="61"/>
        <v>0</v>
      </c>
      <c r="AG51" s="310">
        <f t="shared" si="62"/>
        <v>0</v>
      </c>
      <c r="AH51" s="310">
        <f t="shared" si="63"/>
        <v>0</v>
      </c>
      <c r="AI51" s="320" t="s">
        <v>2059</v>
      </c>
      <c r="AJ51" s="310">
        <f t="shared" si="64"/>
        <v>0</v>
      </c>
      <c r="AK51" s="310">
        <f t="shared" si="65"/>
        <v>0</v>
      </c>
      <c r="AL51" s="310">
        <f t="shared" si="66"/>
        <v>0</v>
      </c>
      <c r="AN51" s="310">
        <v>21</v>
      </c>
      <c r="AO51" s="310">
        <f t="shared" si="67"/>
        <v>0</v>
      </c>
      <c r="AP51" s="310">
        <f t="shared" si="68"/>
        <v>0</v>
      </c>
      <c r="AQ51" s="335" t="s">
        <v>86</v>
      </c>
      <c r="AV51" s="310">
        <f t="shared" si="69"/>
        <v>0</v>
      </c>
      <c r="AW51" s="310">
        <f t="shared" si="70"/>
        <v>0</v>
      </c>
      <c r="AX51" s="310">
        <f t="shared" si="71"/>
        <v>0</v>
      </c>
      <c r="AY51" s="335" t="s">
        <v>2131</v>
      </c>
      <c r="AZ51" s="335" t="s">
        <v>2130</v>
      </c>
      <c r="BA51" s="320" t="s">
        <v>2131</v>
      </c>
      <c r="BC51" s="310">
        <f t="shared" si="72"/>
        <v>0</v>
      </c>
      <c r="BD51" s="310">
        <f t="shared" si="73"/>
        <v>0</v>
      </c>
      <c r="BE51" s="310">
        <v>0</v>
      </c>
      <c r="BF51" s="310">
        <f t="shared" si="74"/>
        <v>0</v>
      </c>
      <c r="BH51" s="310">
        <f t="shared" si="75"/>
        <v>0</v>
      </c>
      <c r="BI51" s="310">
        <f t="shared" si="76"/>
        <v>0</v>
      </c>
      <c r="BJ51" s="310">
        <f t="shared" si="77"/>
        <v>0</v>
      </c>
      <c r="BK51" s="310"/>
      <c r="BL51" s="310"/>
    </row>
    <row r="52" spans="1:47" ht="15" customHeight="1">
      <c r="A52" s="329" t="s">
        <v>19</v>
      </c>
      <c r="B52" s="330" t="s">
        <v>2059</v>
      </c>
      <c r="C52" s="330" t="s">
        <v>19</v>
      </c>
      <c r="D52" s="553" t="s">
        <v>2023</v>
      </c>
      <c r="E52" s="553"/>
      <c r="F52" s="331" t="s">
        <v>39</v>
      </c>
      <c r="G52" s="331" t="s">
        <v>39</v>
      </c>
      <c r="H52" s="331" t="s">
        <v>39</v>
      </c>
      <c r="I52" s="332">
        <f>SUM(I53:I66)</f>
        <v>0</v>
      </c>
      <c r="J52" s="332">
        <f>SUM(J53:J66)</f>
        <v>0</v>
      </c>
      <c r="K52" s="332">
        <f>SUM(K53:K66)</f>
        <v>0</v>
      </c>
      <c r="L52" s="320" t="s">
        <v>19</v>
      </c>
      <c r="M52" s="332">
        <f>SUM(M53:M66)</f>
        <v>1.71613</v>
      </c>
      <c r="N52" s="333" t="s">
        <v>19</v>
      </c>
      <c r="AI52" s="320" t="s">
        <v>2059</v>
      </c>
      <c r="AS52" s="332">
        <f>SUM(AJ53:AJ66)</f>
        <v>0</v>
      </c>
      <c r="AT52" s="332">
        <f>SUM(AK53:AK66)</f>
        <v>0</v>
      </c>
      <c r="AU52" s="332">
        <f>SUM(AL53:AL66)</f>
        <v>0</v>
      </c>
    </row>
    <row r="53" spans="1:64" ht="15" customHeight="1">
      <c r="A53" s="286" t="s">
        <v>451</v>
      </c>
      <c r="B53" s="287" t="s">
        <v>2059</v>
      </c>
      <c r="C53" s="287" t="s">
        <v>2166</v>
      </c>
      <c r="D53" s="504" t="s">
        <v>2167</v>
      </c>
      <c r="E53" s="504"/>
      <c r="F53" s="287" t="s">
        <v>308</v>
      </c>
      <c r="G53" s="310">
        <v>108</v>
      </c>
      <c r="H53" s="310">
        <v>0</v>
      </c>
      <c r="I53" s="310">
        <f aca="true" t="shared" si="78" ref="I53:I66">G53*AO53</f>
        <v>0</v>
      </c>
      <c r="J53" s="310">
        <f aca="true" t="shared" si="79" ref="J53:J66">G53*AP53</f>
        <v>0</v>
      </c>
      <c r="K53" s="310">
        <f aca="true" t="shared" si="80" ref="K53:K66">G53*H53</f>
        <v>0</v>
      </c>
      <c r="L53" s="310">
        <v>0.00021</v>
      </c>
      <c r="M53" s="310">
        <f aca="true" t="shared" si="81" ref="M53:M66">G53*L53</f>
        <v>0.022680000000000002</v>
      </c>
      <c r="N53" s="334" t="s">
        <v>2101</v>
      </c>
      <c r="Z53" s="310">
        <f aca="true" t="shared" si="82" ref="Z53:Z66">IF(AQ53="5",BJ53,0)</f>
        <v>0</v>
      </c>
      <c r="AB53" s="310">
        <f aca="true" t="shared" si="83" ref="AB53:AB66">IF(AQ53="1",BH53,0)</f>
        <v>0</v>
      </c>
      <c r="AC53" s="310">
        <f aca="true" t="shared" si="84" ref="AC53:AC66">IF(AQ53="1",BI53,0)</f>
        <v>0</v>
      </c>
      <c r="AD53" s="310">
        <f aca="true" t="shared" si="85" ref="AD53:AD66">IF(AQ53="7",BH53,0)</f>
        <v>0</v>
      </c>
      <c r="AE53" s="310">
        <f aca="true" t="shared" si="86" ref="AE53:AE66">IF(AQ53="7",BI53,0)</f>
        <v>0</v>
      </c>
      <c r="AF53" s="310">
        <f aca="true" t="shared" si="87" ref="AF53:AF66">IF(AQ53="2",BH53,0)</f>
        <v>0</v>
      </c>
      <c r="AG53" s="310">
        <f aca="true" t="shared" si="88" ref="AG53:AG66">IF(AQ53="2",BI53,0)</f>
        <v>0</v>
      </c>
      <c r="AH53" s="310">
        <f aca="true" t="shared" si="89" ref="AH53:AH66">IF(AQ53="0",BJ53,0)</f>
        <v>0</v>
      </c>
      <c r="AI53" s="320" t="s">
        <v>2059</v>
      </c>
      <c r="AJ53" s="310">
        <f aca="true" t="shared" si="90" ref="AJ53:AJ66">IF(AN53=0,K53,0)</f>
        <v>0</v>
      </c>
      <c r="AK53" s="310">
        <f aca="true" t="shared" si="91" ref="AK53:AK66">IF(AN53=15,K53,0)</f>
        <v>0</v>
      </c>
      <c r="AL53" s="310">
        <f aca="true" t="shared" si="92" ref="AL53:AL66">IF(AN53=21,K53,0)</f>
        <v>0</v>
      </c>
      <c r="AN53" s="310">
        <v>21</v>
      </c>
      <c r="AO53" s="310">
        <f aca="true" t="shared" si="93" ref="AO53:AO66">H53*1</f>
        <v>0</v>
      </c>
      <c r="AP53" s="310">
        <f aca="true" t="shared" si="94" ref="AP53:AP66">H53*(1-1)</f>
        <v>0</v>
      </c>
      <c r="AQ53" s="335" t="s">
        <v>76</v>
      </c>
      <c r="AV53" s="310">
        <f aca="true" t="shared" si="95" ref="AV53:AV66">AW53+AX53</f>
        <v>0</v>
      </c>
      <c r="AW53" s="310">
        <f aca="true" t="shared" si="96" ref="AW53:AW66">G53*AO53</f>
        <v>0</v>
      </c>
      <c r="AX53" s="310">
        <f aca="true" t="shared" si="97" ref="AX53:AX66">G53*AP53</f>
        <v>0</v>
      </c>
      <c r="AY53" s="335" t="s">
        <v>2113</v>
      </c>
      <c r="AZ53" s="335" t="s">
        <v>2168</v>
      </c>
      <c r="BA53" s="320" t="s">
        <v>2131</v>
      </c>
      <c r="BC53" s="310">
        <f aca="true" t="shared" si="98" ref="BC53:BC66">AW53+AX53</f>
        <v>0</v>
      </c>
      <c r="BD53" s="310">
        <f aca="true" t="shared" si="99" ref="BD53:BD66">H53/(100-BE53)*100</f>
        <v>0</v>
      </c>
      <c r="BE53" s="310">
        <v>0</v>
      </c>
      <c r="BF53" s="310">
        <f aca="true" t="shared" si="100" ref="BF53:BF66">M53</f>
        <v>0.022680000000000002</v>
      </c>
      <c r="BH53" s="310">
        <f aca="true" t="shared" si="101" ref="BH53:BH66">G53*AO53</f>
        <v>0</v>
      </c>
      <c r="BI53" s="310">
        <f aca="true" t="shared" si="102" ref="BI53:BI66">G53*AP53</f>
        <v>0</v>
      </c>
      <c r="BJ53" s="310">
        <f aca="true" t="shared" si="103" ref="BJ53:BJ66">G53*H53</f>
        <v>0</v>
      </c>
      <c r="BK53" s="310"/>
      <c r="BL53" s="310"/>
    </row>
    <row r="54" spans="1:64" ht="15" customHeight="1">
      <c r="A54" s="286" t="s">
        <v>457</v>
      </c>
      <c r="B54" s="287" t="s">
        <v>2059</v>
      </c>
      <c r="C54" s="287" t="s">
        <v>2169</v>
      </c>
      <c r="D54" s="504" t="s">
        <v>2170</v>
      </c>
      <c r="E54" s="504"/>
      <c r="F54" s="287" t="s">
        <v>308</v>
      </c>
      <c r="G54" s="310">
        <v>489</v>
      </c>
      <c r="H54" s="310">
        <v>0</v>
      </c>
      <c r="I54" s="310">
        <f t="shared" si="78"/>
        <v>0</v>
      </c>
      <c r="J54" s="310">
        <f t="shared" si="79"/>
        <v>0</v>
      </c>
      <c r="K54" s="310">
        <f t="shared" si="80"/>
        <v>0</v>
      </c>
      <c r="L54" s="310">
        <v>0.00089</v>
      </c>
      <c r="M54" s="310">
        <f t="shared" si="81"/>
        <v>0.43521</v>
      </c>
      <c r="N54" s="334" t="s">
        <v>2095</v>
      </c>
      <c r="Z54" s="310">
        <f t="shared" si="82"/>
        <v>0</v>
      </c>
      <c r="AB54" s="310">
        <f t="shared" si="83"/>
        <v>0</v>
      </c>
      <c r="AC54" s="310">
        <f t="shared" si="84"/>
        <v>0</v>
      </c>
      <c r="AD54" s="310">
        <f t="shared" si="85"/>
        <v>0</v>
      </c>
      <c r="AE54" s="310">
        <f t="shared" si="86"/>
        <v>0</v>
      </c>
      <c r="AF54" s="310">
        <f t="shared" si="87"/>
        <v>0</v>
      </c>
      <c r="AG54" s="310">
        <f t="shared" si="88"/>
        <v>0</v>
      </c>
      <c r="AH54" s="310">
        <f t="shared" si="89"/>
        <v>0</v>
      </c>
      <c r="AI54" s="320" t="s">
        <v>2059</v>
      </c>
      <c r="AJ54" s="310">
        <f t="shared" si="90"/>
        <v>0</v>
      </c>
      <c r="AK54" s="310">
        <f t="shared" si="91"/>
        <v>0</v>
      </c>
      <c r="AL54" s="310">
        <f t="shared" si="92"/>
        <v>0</v>
      </c>
      <c r="AN54" s="310">
        <v>21</v>
      </c>
      <c r="AO54" s="310">
        <f t="shared" si="93"/>
        <v>0</v>
      </c>
      <c r="AP54" s="310">
        <f t="shared" si="94"/>
        <v>0</v>
      </c>
      <c r="AQ54" s="335" t="s">
        <v>76</v>
      </c>
      <c r="AV54" s="310">
        <f t="shared" si="95"/>
        <v>0</v>
      </c>
      <c r="AW54" s="310">
        <f t="shared" si="96"/>
        <v>0</v>
      </c>
      <c r="AX54" s="310">
        <f t="shared" si="97"/>
        <v>0</v>
      </c>
      <c r="AY54" s="335" t="s">
        <v>2113</v>
      </c>
      <c r="AZ54" s="335" t="s">
        <v>2168</v>
      </c>
      <c r="BA54" s="320" t="s">
        <v>2131</v>
      </c>
      <c r="BC54" s="310">
        <f t="shared" si="98"/>
        <v>0</v>
      </c>
      <c r="BD54" s="310">
        <f t="shared" si="99"/>
        <v>0</v>
      </c>
      <c r="BE54" s="310">
        <v>0</v>
      </c>
      <c r="BF54" s="310">
        <f t="shared" si="100"/>
        <v>0.43521</v>
      </c>
      <c r="BH54" s="310">
        <f t="shared" si="101"/>
        <v>0</v>
      </c>
      <c r="BI54" s="310">
        <f t="shared" si="102"/>
        <v>0</v>
      </c>
      <c r="BJ54" s="310">
        <f t="shared" si="103"/>
        <v>0</v>
      </c>
      <c r="BK54" s="310"/>
      <c r="BL54" s="310"/>
    </row>
    <row r="55" spans="1:64" ht="15" customHeight="1">
      <c r="A55" s="286" t="s">
        <v>464</v>
      </c>
      <c r="B55" s="287" t="s">
        <v>2059</v>
      </c>
      <c r="C55" s="287" t="s">
        <v>2171</v>
      </c>
      <c r="D55" s="504" t="s">
        <v>2172</v>
      </c>
      <c r="E55" s="504"/>
      <c r="F55" s="287" t="s">
        <v>944</v>
      </c>
      <c r="G55" s="310">
        <v>264</v>
      </c>
      <c r="H55" s="310">
        <v>0</v>
      </c>
      <c r="I55" s="310">
        <f t="shared" si="78"/>
        <v>0</v>
      </c>
      <c r="J55" s="310">
        <f t="shared" si="79"/>
        <v>0</v>
      </c>
      <c r="K55" s="310">
        <f t="shared" si="80"/>
        <v>0</v>
      </c>
      <c r="L55" s="310">
        <v>0.001</v>
      </c>
      <c r="M55" s="310">
        <f t="shared" si="81"/>
        <v>0.264</v>
      </c>
      <c r="N55" s="334" t="s">
        <v>2095</v>
      </c>
      <c r="Z55" s="310">
        <f t="shared" si="82"/>
        <v>0</v>
      </c>
      <c r="AB55" s="310">
        <f t="shared" si="83"/>
        <v>0</v>
      </c>
      <c r="AC55" s="310">
        <f t="shared" si="84"/>
        <v>0</v>
      </c>
      <c r="AD55" s="310">
        <f t="shared" si="85"/>
        <v>0</v>
      </c>
      <c r="AE55" s="310">
        <f t="shared" si="86"/>
        <v>0</v>
      </c>
      <c r="AF55" s="310">
        <f t="shared" si="87"/>
        <v>0</v>
      </c>
      <c r="AG55" s="310">
        <f t="shared" si="88"/>
        <v>0</v>
      </c>
      <c r="AH55" s="310">
        <f t="shared" si="89"/>
        <v>0</v>
      </c>
      <c r="AI55" s="320" t="s">
        <v>2059</v>
      </c>
      <c r="AJ55" s="310">
        <f t="shared" si="90"/>
        <v>0</v>
      </c>
      <c r="AK55" s="310">
        <f t="shared" si="91"/>
        <v>0</v>
      </c>
      <c r="AL55" s="310">
        <f t="shared" si="92"/>
        <v>0</v>
      </c>
      <c r="AN55" s="310">
        <v>21</v>
      </c>
      <c r="AO55" s="310">
        <f t="shared" si="93"/>
        <v>0</v>
      </c>
      <c r="AP55" s="310">
        <f t="shared" si="94"/>
        <v>0</v>
      </c>
      <c r="AQ55" s="335" t="s">
        <v>76</v>
      </c>
      <c r="AV55" s="310">
        <f t="shared" si="95"/>
        <v>0</v>
      </c>
      <c r="AW55" s="310">
        <f t="shared" si="96"/>
        <v>0</v>
      </c>
      <c r="AX55" s="310">
        <f t="shared" si="97"/>
        <v>0</v>
      </c>
      <c r="AY55" s="335" t="s">
        <v>2113</v>
      </c>
      <c r="AZ55" s="335" t="s">
        <v>2168</v>
      </c>
      <c r="BA55" s="320" t="s">
        <v>2131</v>
      </c>
      <c r="BC55" s="310">
        <f t="shared" si="98"/>
        <v>0</v>
      </c>
      <c r="BD55" s="310">
        <f t="shared" si="99"/>
        <v>0</v>
      </c>
      <c r="BE55" s="310">
        <v>0</v>
      </c>
      <c r="BF55" s="310">
        <f t="shared" si="100"/>
        <v>0.264</v>
      </c>
      <c r="BH55" s="310">
        <f t="shared" si="101"/>
        <v>0</v>
      </c>
      <c r="BI55" s="310">
        <f t="shared" si="102"/>
        <v>0</v>
      </c>
      <c r="BJ55" s="310">
        <f t="shared" si="103"/>
        <v>0</v>
      </c>
      <c r="BK55" s="310"/>
      <c r="BL55" s="310"/>
    </row>
    <row r="56" spans="1:64" ht="15" customHeight="1">
      <c r="A56" s="286" t="s">
        <v>470</v>
      </c>
      <c r="B56" s="287" t="s">
        <v>2059</v>
      </c>
      <c r="C56" s="287" t="s">
        <v>2173</v>
      </c>
      <c r="D56" s="504" t="s">
        <v>2174</v>
      </c>
      <c r="E56" s="504"/>
      <c r="F56" s="287" t="s">
        <v>467</v>
      </c>
      <c r="G56" s="310">
        <v>18</v>
      </c>
      <c r="H56" s="310">
        <v>0</v>
      </c>
      <c r="I56" s="310">
        <f t="shared" si="78"/>
        <v>0</v>
      </c>
      <c r="J56" s="310">
        <f t="shared" si="79"/>
        <v>0</v>
      </c>
      <c r="K56" s="310">
        <f t="shared" si="80"/>
        <v>0</v>
      </c>
      <c r="L56" s="310">
        <v>0.00013</v>
      </c>
      <c r="M56" s="310">
        <f t="shared" si="81"/>
        <v>0.0023399999999999996</v>
      </c>
      <c r="N56" s="334" t="s">
        <v>2095</v>
      </c>
      <c r="Z56" s="310">
        <f t="shared" si="82"/>
        <v>0</v>
      </c>
      <c r="AB56" s="310">
        <f t="shared" si="83"/>
        <v>0</v>
      </c>
      <c r="AC56" s="310">
        <f t="shared" si="84"/>
        <v>0</v>
      </c>
      <c r="AD56" s="310">
        <f t="shared" si="85"/>
        <v>0</v>
      </c>
      <c r="AE56" s="310">
        <f t="shared" si="86"/>
        <v>0</v>
      </c>
      <c r="AF56" s="310">
        <f t="shared" si="87"/>
        <v>0</v>
      </c>
      <c r="AG56" s="310">
        <f t="shared" si="88"/>
        <v>0</v>
      </c>
      <c r="AH56" s="310">
        <f t="shared" si="89"/>
        <v>0</v>
      </c>
      <c r="AI56" s="320" t="s">
        <v>2059</v>
      </c>
      <c r="AJ56" s="310">
        <f t="shared" si="90"/>
        <v>0</v>
      </c>
      <c r="AK56" s="310">
        <f t="shared" si="91"/>
        <v>0</v>
      </c>
      <c r="AL56" s="310">
        <f t="shared" si="92"/>
        <v>0</v>
      </c>
      <c r="AN56" s="310">
        <v>21</v>
      </c>
      <c r="AO56" s="310">
        <f t="shared" si="93"/>
        <v>0</v>
      </c>
      <c r="AP56" s="310">
        <f t="shared" si="94"/>
        <v>0</v>
      </c>
      <c r="AQ56" s="335" t="s">
        <v>76</v>
      </c>
      <c r="AV56" s="310">
        <f t="shared" si="95"/>
        <v>0</v>
      </c>
      <c r="AW56" s="310">
        <f t="shared" si="96"/>
        <v>0</v>
      </c>
      <c r="AX56" s="310">
        <f t="shared" si="97"/>
        <v>0</v>
      </c>
      <c r="AY56" s="335" t="s">
        <v>2113</v>
      </c>
      <c r="AZ56" s="335" t="s">
        <v>2168</v>
      </c>
      <c r="BA56" s="320" t="s">
        <v>2131</v>
      </c>
      <c r="BC56" s="310">
        <f t="shared" si="98"/>
        <v>0</v>
      </c>
      <c r="BD56" s="310">
        <f t="shared" si="99"/>
        <v>0</v>
      </c>
      <c r="BE56" s="310">
        <v>0</v>
      </c>
      <c r="BF56" s="310">
        <f t="shared" si="100"/>
        <v>0.0023399999999999996</v>
      </c>
      <c r="BH56" s="310">
        <f t="shared" si="101"/>
        <v>0</v>
      </c>
      <c r="BI56" s="310">
        <f t="shared" si="102"/>
        <v>0</v>
      </c>
      <c r="BJ56" s="310">
        <f t="shared" si="103"/>
        <v>0</v>
      </c>
      <c r="BK56" s="310"/>
      <c r="BL56" s="310"/>
    </row>
    <row r="57" spans="1:64" ht="15" customHeight="1">
      <c r="A57" s="286" t="s">
        <v>475</v>
      </c>
      <c r="B57" s="287" t="s">
        <v>2059</v>
      </c>
      <c r="C57" s="287" t="s">
        <v>2175</v>
      </c>
      <c r="D57" s="504" t="s">
        <v>2176</v>
      </c>
      <c r="E57" s="504"/>
      <c r="F57" s="287" t="s">
        <v>467</v>
      </c>
      <c r="G57" s="310">
        <v>42</v>
      </c>
      <c r="H57" s="310">
        <v>0</v>
      </c>
      <c r="I57" s="310">
        <f t="shared" si="78"/>
        <v>0</v>
      </c>
      <c r="J57" s="310">
        <f t="shared" si="79"/>
        <v>0</v>
      </c>
      <c r="K57" s="310">
        <f t="shared" si="80"/>
        <v>0</v>
      </c>
      <c r="L57" s="310">
        <v>0.0003</v>
      </c>
      <c r="M57" s="310">
        <f t="shared" si="81"/>
        <v>0.012599999999999998</v>
      </c>
      <c r="N57" s="334" t="s">
        <v>2095</v>
      </c>
      <c r="Z57" s="310">
        <f t="shared" si="82"/>
        <v>0</v>
      </c>
      <c r="AB57" s="310">
        <f t="shared" si="83"/>
        <v>0</v>
      </c>
      <c r="AC57" s="310">
        <f t="shared" si="84"/>
        <v>0</v>
      </c>
      <c r="AD57" s="310">
        <f t="shared" si="85"/>
        <v>0</v>
      </c>
      <c r="AE57" s="310">
        <f t="shared" si="86"/>
        <v>0</v>
      </c>
      <c r="AF57" s="310">
        <f t="shared" si="87"/>
        <v>0</v>
      </c>
      <c r="AG57" s="310">
        <f t="shared" si="88"/>
        <v>0</v>
      </c>
      <c r="AH57" s="310">
        <f t="shared" si="89"/>
        <v>0</v>
      </c>
      <c r="AI57" s="320" t="s">
        <v>2059</v>
      </c>
      <c r="AJ57" s="310">
        <f t="shared" si="90"/>
        <v>0</v>
      </c>
      <c r="AK57" s="310">
        <f t="shared" si="91"/>
        <v>0</v>
      </c>
      <c r="AL57" s="310">
        <f t="shared" si="92"/>
        <v>0</v>
      </c>
      <c r="AN57" s="310">
        <v>21</v>
      </c>
      <c r="AO57" s="310">
        <f t="shared" si="93"/>
        <v>0</v>
      </c>
      <c r="AP57" s="310">
        <f t="shared" si="94"/>
        <v>0</v>
      </c>
      <c r="AQ57" s="335" t="s">
        <v>76</v>
      </c>
      <c r="AV57" s="310">
        <f t="shared" si="95"/>
        <v>0</v>
      </c>
      <c r="AW57" s="310">
        <f t="shared" si="96"/>
        <v>0</v>
      </c>
      <c r="AX57" s="310">
        <f t="shared" si="97"/>
        <v>0</v>
      </c>
      <c r="AY57" s="335" t="s">
        <v>2113</v>
      </c>
      <c r="AZ57" s="335" t="s">
        <v>2168</v>
      </c>
      <c r="BA57" s="320" t="s">
        <v>2131</v>
      </c>
      <c r="BC57" s="310">
        <f t="shared" si="98"/>
        <v>0</v>
      </c>
      <c r="BD57" s="310">
        <f t="shared" si="99"/>
        <v>0</v>
      </c>
      <c r="BE57" s="310">
        <v>0</v>
      </c>
      <c r="BF57" s="310">
        <f t="shared" si="100"/>
        <v>0.012599999999999998</v>
      </c>
      <c r="BH57" s="310">
        <f t="shared" si="101"/>
        <v>0</v>
      </c>
      <c r="BI57" s="310">
        <f t="shared" si="102"/>
        <v>0</v>
      </c>
      <c r="BJ57" s="310">
        <f t="shared" si="103"/>
        <v>0</v>
      </c>
      <c r="BK57" s="310"/>
      <c r="BL57" s="310"/>
    </row>
    <row r="58" spans="1:64" ht="15" customHeight="1">
      <c r="A58" s="286" t="s">
        <v>481</v>
      </c>
      <c r="B58" s="287" t="s">
        <v>2059</v>
      </c>
      <c r="C58" s="287" t="s">
        <v>2177</v>
      </c>
      <c r="D58" s="504" t="s">
        <v>2178</v>
      </c>
      <c r="E58" s="504"/>
      <c r="F58" s="287" t="s">
        <v>308</v>
      </c>
      <c r="G58" s="310">
        <v>394</v>
      </c>
      <c r="H58" s="310">
        <v>0</v>
      </c>
      <c r="I58" s="310">
        <f t="shared" si="78"/>
        <v>0</v>
      </c>
      <c r="J58" s="310">
        <f t="shared" si="79"/>
        <v>0</v>
      </c>
      <c r="K58" s="310">
        <f t="shared" si="80"/>
        <v>0</v>
      </c>
      <c r="L58" s="310">
        <v>0.00031</v>
      </c>
      <c r="M58" s="310">
        <f t="shared" si="81"/>
        <v>0.12214</v>
      </c>
      <c r="N58" s="334" t="s">
        <v>2095</v>
      </c>
      <c r="Z58" s="310">
        <f t="shared" si="82"/>
        <v>0</v>
      </c>
      <c r="AB58" s="310">
        <f t="shared" si="83"/>
        <v>0</v>
      </c>
      <c r="AC58" s="310">
        <f t="shared" si="84"/>
        <v>0</v>
      </c>
      <c r="AD58" s="310">
        <f t="shared" si="85"/>
        <v>0</v>
      </c>
      <c r="AE58" s="310">
        <f t="shared" si="86"/>
        <v>0</v>
      </c>
      <c r="AF58" s="310">
        <f t="shared" si="87"/>
        <v>0</v>
      </c>
      <c r="AG58" s="310">
        <f t="shared" si="88"/>
        <v>0</v>
      </c>
      <c r="AH58" s="310">
        <f t="shared" si="89"/>
        <v>0</v>
      </c>
      <c r="AI58" s="320" t="s">
        <v>2059</v>
      </c>
      <c r="AJ58" s="310">
        <f t="shared" si="90"/>
        <v>0</v>
      </c>
      <c r="AK58" s="310">
        <f t="shared" si="91"/>
        <v>0</v>
      </c>
      <c r="AL58" s="310">
        <f t="shared" si="92"/>
        <v>0</v>
      </c>
      <c r="AN58" s="310">
        <v>21</v>
      </c>
      <c r="AO58" s="310">
        <f t="shared" si="93"/>
        <v>0</v>
      </c>
      <c r="AP58" s="310">
        <f t="shared" si="94"/>
        <v>0</v>
      </c>
      <c r="AQ58" s="335" t="s">
        <v>76</v>
      </c>
      <c r="AV58" s="310">
        <f t="shared" si="95"/>
        <v>0</v>
      </c>
      <c r="AW58" s="310">
        <f t="shared" si="96"/>
        <v>0</v>
      </c>
      <c r="AX58" s="310">
        <f t="shared" si="97"/>
        <v>0</v>
      </c>
      <c r="AY58" s="335" t="s">
        <v>2113</v>
      </c>
      <c r="AZ58" s="335" t="s">
        <v>2168</v>
      </c>
      <c r="BA58" s="320" t="s">
        <v>2131</v>
      </c>
      <c r="BC58" s="310">
        <f t="shared" si="98"/>
        <v>0</v>
      </c>
      <c r="BD58" s="310">
        <f t="shared" si="99"/>
        <v>0</v>
      </c>
      <c r="BE58" s="310">
        <v>0</v>
      </c>
      <c r="BF58" s="310">
        <f t="shared" si="100"/>
        <v>0.12214</v>
      </c>
      <c r="BH58" s="310">
        <f t="shared" si="101"/>
        <v>0</v>
      </c>
      <c r="BI58" s="310">
        <f t="shared" si="102"/>
        <v>0</v>
      </c>
      <c r="BJ58" s="310">
        <f t="shared" si="103"/>
        <v>0</v>
      </c>
      <c r="BK58" s="310"/>
      <c r="BL58" s="310"/>
    </row>
    <row r="59" spans="1:64" ht="15" customHeight="1">
      <c r="A59" s="286" t="s">
        <v>491</v>
      </c>
      <c r="B59" s="287" t="s">
        <v>2059</v>
      </c>
      <c r="C59" s="287" t="s">
        <v>2179</v>
      </c>
      <c r="D59" s="504" t="s">
        <v>2180</v>
      </c>
      <c r="E59" s="504"/>
      <c r="F59" s="287" t="s">
        <v>308</v>
      </c>
      <c r="G59" s="310">
        <v>32</v>
      </c>
      <c r="H59" s="310">
        <v>0</v>
      </c>
      <c r="I59" s="310">
        <f t="shared" si="78"/>
        <v>0</v>
      </c>
      <c r="J59" s="310">
        <f t="shared" si="79"/>
        <v>0</v>
      </c>
      <c r="K59" s="310">
        <f t="shared" si="80"/>
        <v>0</v>
      </c>
      <c r="L59" s="310">
        <v>0.00019</v>
      </c>
      <c r="M59" s="310">
        <f t="shared" si="81"/>
        <v>0.00608</v>
      </c>
      <c r="N59" s="334" t="s">
        <v>2095</v>
      </c>
      <c r="Z59" s="310">
        <f t="shared" si="82"/>
        <v>0</v>
      </c>
      <c r="AB59" s="310">
        <f t="shared" si="83"/>
        <v>0</v>
      </c>
      <c r="AC59" s="310">
        <f t="shared" si="84"/>
        <v>0</v>
      </c>
      <c r="AD59" s="310">
        <f t="shared" si="85"/>
        <v>0</v>
      </c>
      <c r="AE59" s="310">
        <f t="shared" si="86"/>
        <v>0</v>
      </c>
      <c r="AF59" s="310">
        <f t="shared" si="87"/>
        <v>0</v>
      </c>
      <c r="AG59" s="310">
        <f t="shared" si="88"/>
        <v>0</v>
      </c>
      <c r="AH59" s="310">
        <f t="shared" si="89"/>
        <v>0</v>
      </c>
      <c r="AI59" s="320" t="s">
        <v>2059</v>
      </c>
      <c r="AJ59" s="310">
        <f t="shared" si="90"/>
        <v>0</v>
      </c>
      <c r="AK59" s="310">
        <f t="shared" si="91"/>
        <v>0</v>
      </c>
      <c r="AL59" s="310">
        <f t="shared" si="92"/>
        <v>0</v>
      </c>
      <c r="AN59" s="310">
        <v>21</v>
      </c>
      <c r="AO59" s="310">
        <f t="shared" si="93"/>
        <v>0</v>
      </c>
      <c r="AP59" s="310">
        <f t="shared" si="94"/>
        <v>0</v>
      </c>
      <c r="AQ59" s="335" t="s">
        <v>76</v>
      </c>
      <c r="AV59" s="310">
        <f t="shared" si="95"/>
        <v>0</v>
      </c>
      <c r="AW59" s="310">
        <f t="shared" si="96"/>
        <v>0</v>
      </c>
      <c r="AX59" s="310">
        <f t="shared" si="97"/>
        <v>0</v>
      </c>
      <c r="AY59" s="335" t="s">
        <v>2113</v>
      </c>
      <c r="AZ59" s="335" t="s">
        <v>2168</v>
      </c>
      <c r="BA59" s="320" t="s">
        <v>2131</v>
      </c>
      <c r="BC59" s="310">
        <f t="shared" si="98"/>
        <v>0</v>
      </c>
      <c r="BD59" s="310">
        <f t="shared" si="99"/>
        <v>0</v>
      </c>
      <c r="BE59" s="310">
        <v>0</v>
      </c>
      <c r="BF59" s="310">
        <f t="shared" si="100"/>
        <v>0.00608</v>
      </c>
      <c r="BH59" s="310">
        <f t="shared" si="101"/>
        <v>0</v>
      </c>
      <c r="BI59" s="310">
        <f t="shared" si="102"/>
        <v>0</v>
      </c>
      <c r="BJ59" s="310">
        <f t="shared" si="103"/>
        <v>0</v>
      </c>
      <c r="BK59" s="310"/>
      <c r="BL59" s="310"/>
    </row>
    <row r="60" spans="1:64" ht="15" customHeight="1">
      <c r="A60" s="286" t="s">
        <v>496</v>
      </c>
      <c r="B60" s="287" t="s">
        <v>2059</v>
      </c>
      <c r="C60" s="287" t="s">
        <v>2181</v>
      </c>
      <c r="D60" s="504" t="s">
        <v>2182</v>
      </c>
      <c r="E60" s="504"/>
      <c r="F60" s="287" t="s">
        <v>308</v>
      </c>
      <c r="G60" s="310">
        <v>12</v>
      </c>
      <c r="H60" s="310">
        <v>0</v>
      </c>
      <c r="I60" s="310">
        <f t="shared" si="78"/>
        <v>0</v>
      </c>
      <c r="J60" s="310">
        <f t="shared" si="79"/>
        <v>0</v>
      </c>
      <c r="K60" s="310">
        <f t="shared" si="80"/>
        <v>0</v>
      </c>
      <c r="L60" s="310">
        <v>0.00069</v>
      </c>
      <c r="M60" s="310">
        <f t="shared" si="81"/>
        <v>0.00828</v>
      </c>
      <c r="N60" s="334" t="s">
        <v>2095</v>
      </c>
      <c r="Z60" s="310">
        <f t="shared" si="82"/>
        <v>0</v>
      </c>
      <c r="AB60" s="310">
        <f t="shared" si="83"/>
        <v>0</v>
      </c>
      <c r="AC60" s="310">
        <f t="shared" si="84"/>
        <v>0</v>
      </c>
      <c r="AD60" s="310">
        <f t="shared" si="85"/>
        <v>0</v>
      </c>
      <c r="AE60" s="310">
        <f t="shared" si="86"/>
        <v>0</v>
      </c>
      <c r="AF60" s="310">
        <f t="shared" si="87"/>
        <v>0</v>
      </c>
      <c r="AG60" s="310">
        <f t="shared" si="88"/>
        <v>0</v>
      </c>
      <c r="AH60" s="310">
        <f t="shared" si="89"/>
        <v>0</v>
      </c>
      <c r="AI60" s="320" t="s">
        <v>2059</v>
      </c>
      <c r="AJ60" s="310">
        <f t="shared" si="90"/>
        <v>0</v>
      </c>
      <c r="AK60" s="310">
        <f t="shared" si="91"/>
        <v>0</v>
      </c>
      <c r="AL60" s="310">
        <f t="shared" si="92"/>
        <v>0</v>
      </c>
      <c r="AN60" s="310">
        <v>21</v>
      </c>
      <c r="AO60" s="310">
        <f t="shared" si="93"/>
        <v>0</v>
      </c>
      <c r="AP60" s="310">
        <f t="shared" si="94"/>
        <v>0</v>
      </c>
      <c r="AQ60" s="335" t="s">
        <v>76</v>
      </c>
      <c r="AV60" s="310">
        <f t="shared" si="95"/>
        <v>0</v>
      </c>
      <c r="AW60" s="310">
        <f t="shared" si="96"/>
        <v>0</v>
      </c>
      <c r="AX60" s="310">
        <f t="shared" si="97"/>
        <v>0</v>
      </c>
      <c r="AY60" s="335" t="s">
        <v>2113</v>
      </c>
      <c r="AZ60" s="335" t="s">
        <v>2168</v>
      </c>
      <c r="BA60" s="320" t="s">
        <v>2131</v>
      </c>
      <c r="BC60" s="310">
        <f t="shared" si="98"/>
        <v>0</v>
      </c>
      <c r="BD60" s="310">
        <f t="shared" si="99"/>
        <v>0</v>
      </c>
      <c r="BE60" s="310">
        <v>0</v>
      </c>
      <c r="BF60" s="310">
        <f t="shared" si="100"/>
        <v>0.00828</v>
      </c>
      <c r="BH60" s="310">
        <f t="shared" si="101"/>
        <v>0</v>
      </c>
      <c r="BI60" s="310">
        <f t="shared" si="102"/>
        <v>0</v>
      </c>
      <c r="BJ60" s="310">
        <f t="shared" si="103"/>
        <v>0</v>
      </c>
      <c r="BK60" s="310"/>
      <c r="BL60" s="310"/>
    </row>
    <row r="61" spans="1:64" ht="15" customHeight="1">
      <c r="A61" s="286" t="s">
        <v>504</v>
      </c>
      <c r="B61" s="287" t="s">
        <v>2059</v>
      </c>
      <c r="C61" s="287" t="s">
        <v>2183</v>
      </c>
      <c r="D61" s="504" t="s">
        <v>2184</v>
      </c>
      <c r="E61" s="504"/>
      <c r="F61" s="287" t="s">
        <v>467</v>
      </c>
      <c r="G61" s="310">
        <v>14</v>
      </c>
      <c r="H61" s="310">
        <v>0</v>
      </c>
      <c r="I61" s="310">
        <f t="shared" si="78"/>
        <v>0</v>
      </c>
      <c r="J61" s="310">
        <f t="shared" si="79"/>
        <v>0</v>
      </c>
      <c r="K61" s="310">
        <f t="shared" si="80"/>
        <v>0</v>
      </c>
      <c r="L61" s="310">
        <v>0.052</v>
      </c>
      <c r="M61" s="310">
        <f t="shared" si="81"/>
        <v>0.728</v>
      </c>
      <c r="N61" s="334" t="s">
        <v>2095</v>
      </c>
      <c r="Z61" s="310">
        <f t="shared" si="82"/>
        <v>0</v>
      </c>
      <c r="AB61" s="310">
        <f t="shared" si="83"/>
        <v>0</v>
      </c>
      <c r="AC61" s="310">
        <f t="shared" si="84"/>
        <v>0</v>
      </c>
      <c r="AD61" s="310">
        <f t="shared" si="85"/>
        <v>0</v>
      </c>
      <c r="AE61" s="310">
        <f t="shared" si="86"/>
        <v>0</v>
      </c>
      <c r="AF61" s="310">
        <f t="shared" si="87"/>
        <v>0</v>
      </c>
      <c r="AG61" s="310">
        <f t="shared" si="88"/>
        <v>0</v>
      </c>
      <c r="AH61" s="310">
        <f t="shared" si="89"/>
        <v>0</v>
      </c>
      <c r="AI61" s="320" t="s">
        <v>2059</v>
      </c>
      <c r="AJ61" s="310">
        <f t="shared" si="90"/>
        <v>0</v>
      </c>
      <c r="AK61" s="310">
        <f t="shared" si="91"/>
        <v>0</v>
      </c>
      <c r="AL61" s="310">
        <f t="shared" si="92"/>
        <v>0</v>
      </c>
      <c r="AN61" s="310">
        <v>21</v>
      </c>
      <c r="AO61" s="310">
        <f t="shared" si="93"/>
        <v>0</v>
      </c>
      <c r="AP61" s="310">
        <f t="shared" si="94"/>
        <v>0</v>
      </c>
      <c r="AQ61" s="335" t="s">
        <v>76</v>
      </c>
      <c r="AV61" s="310">
        <f t="shared" si="95"/>
        <v>0</v>
      </c>
      <c r="AW61" s="310">
        <f t="shared" si="96"/>
        <v>0</v>
      </c>
      <c r="AX61" s="310">
        <f t="shared" si="97"/>
        <v>0</v>
      </c>
      <c r="AY61" s="335" t="s">
        <v>2113</v>
      </c>
      <c r="AZ61" s="335" t="s">
        <v>2168</v>
      </c>
      <c r="BA61" s="320" t="s">
        <v>2131</v>
      </c>
      <c r="BC61" s="310">
        <f t="shared" si="98"/>
        <v>0</v>
      </c>
      <c r="BD61" s="310">
        <f t="shared" si="99"/>
        <v>0</v>
      </c>
      <c r="BE61" s="310">
        <v>0</v>
      </c>
      <c r="BF61" s="310">
        <f t="shared" si="100"/>
        <v>0.728</v>
      </c>
      <c r="BH61" s="310">
        <f t="shared" si="101"/>
        <v>0</v>
      </c>
      <c r="BI61" s="310">
        <f t="shared" si="102"/>
        <v>0</v>
      </c>
      <c r="BJ61" s="310">
        <f t="shared" si="103"/>
        <v>0</v>
      </c>
      <c r="BK61" s="310"/>
      <c r="BL61" s="310"/>
    </row>
    <row r="62" spans="1:64" ht="15" customHeight="1">
      <c r="A62" s="286" t="s">
        <v>511</v>
      </c>
      <c r="B62" s="287" t="s">
        <v>2059</v>
      </c>
      <c r="C62" s="287" t="s">
        <v>2183</v>
      </c>
      <c r="D62" s="504" t="s">
        <v>2185</v>
      </c>
      <c r="E62" s="504"/>
      <c r="F62" s="287" t="s">
        <v>467</v>
      </c>
      <c r="G62" s="310">
        <v>2</v>
      </c>
      <c r="H62" s="310">
        <v>0</v>
      </c>
      <c r="I62" s="310">
        <f t="shared" si="78"/>
        <v>0</v>
      </c>
      <c r="J62" s="310">
        <f t="shared" si="79"/>
        <v>0</v>
      </c>
      <c r="K62" s="310">
        <f t="shared" si="80"/>
        <v>0</v>
      </c>
      <c r="L62" s="310">
        <v>0.052</v>
      </c>
      <c r="M62" s="310">
        <f t="shared" si="81"/>
        <v>0.104</v>
      </c>
      <c r="N62" s="334" t="s">
        <v>2095</v>
      </c>
      <c r="Z62" s="310">
        <f t="shared" si="82"/>
        <v>0</v>
      </c>
      <c r="AB62" s="310">
        <f t="shared" si="83"/>
        <v>0</v>
      </c>
      <c r="AC62" s="310">
        <f t="shared" si="84"/>
        <v>0</v>
      </c>
      <c r="AD62" s="310">
        <f t="shared" si="85"/>
        <v>0</v>
      </c>
      <c r="AE62" s="310">
        <f t="shared" si="86"/>
        <v>0</v>
      </c>
      <c r="AF62" s="310">
        <f t="shared" si="87"/>
        <v>0</v>
      </c>
      <c r="AG62" s="310">
        <f t="shared" si="88"/>
        <v>0</v>
      </c>
      <c r="AH62" s="310">
        <f t="shared" si="89"/>
        <v>0</v>
      </c>
      <c r="AI62" s="320" t="s">
        <v>2059</v>
      </c>
      <c r="AJ62" s="310">
        <f t="shared" si="90"/>
        <v>0</v>
      </c>
      <c r="AK62" s="310">
        <f t="shared" si="91"/>
        <v>0</v>
      </c>
      <c r="AL62" s="310">
        <f t="shared" si="92"/>
        <v>0</v>
      </c>
      <c r="AN62" s="310">
        <v>21</v>
      </c>
      <c r="AO62" s="310">
        <f t="shared" si="93"/>
        <v>0</v>
      </c>
      <c r="AP62" s="310">
        <f t="shared" si="94"/>
        <v>0</v>
      </c>
      <c r="AQ62" s="335" t="s">
        <v>76</v>
      </c>
      <c r="AV62" s="310">
        <f t="shared" si="95"/>
        <v>0</v>
      </c>
      <c r="AW62" s="310">
        <f t="shared" si="96"/>
        <v>0</v>
      </c>
      <c r="AX62" s="310">
        <f t="shared" si="97"/>
        <v>0</v>
      </c>
      <c r="AY62" s="335" t="s">
        <v>2113</v>
      </c>
      <c r="AZ62" s="335" t="s">
        <v>2168</v>
      </c>
      <c r="BA62" s="320" t="s">
        <v>2131</v>
      </c>
      <c r="BC62" s="310">
        <f t="shared" si="98"/>
        <v>0</v>
      </c>
      <c r="BD62" s="310">
        <f t="shared" si="99"/>
        <v>0</v>
      </c>
      <c r="BE62" s="310">
        <v>0</v>
      </c>
      <c r="BF62" s="310">
        <f t="shared" si="100"/>
        <v>0.104</v>
      </c>
      <c r="BH62" s="310">
        <f t="shared" si="101"/>
        <v>0</v>
      </c>
      <c r="BI62" s="310">
        <f t="shared" si="102"/>
        <v>0</v>
      </c>
      <c r="BJ62" s="310">
        <f t="shared" si="103"/>
        <v>0</v>
      </c>
      <c r="BK62" s="310"/>
      <c r="BL62" s="310"/>
    </row>
    <row r="63" spans="1:64" ht="15" customHeight="1">
      <c r="A63" s="286" t="s">
        <v>517</v>
      </c>
      <c r="B63" s="287" t="s">
        <v>2059</v>
      </c>
      <c r="C63" s="287" t="s">
        <v>2186</v>
      </c>
      <c r="D63" s="504" t="s">
        <v>2187</v>
      </c>
      <c r="E63" s="504"/>
      <c r="F63" s="287" t="s">
        <v>467</v>
      </c>
      <c r="G63" s="310">
        <v>2</v>
      </c>
      <c r="H63" s="310">
        <v>0</v>
      </c>
      <c r="I63" s="310">
        <f t="shared" si="78"/>
        <v>0</v>
      </c>
      <c r="J63" s="310">
        <f t="shared" si="79"/>
        <v>0</v>
      </c>
      <c r="K63" s="310">
        <f t="shared" si="80"/>
        <v>0</v>
      </c>
      <c r="L63" s="310">
        <v>0.0034</v>
      </c>
      <c r="M63" s="310">
        <f t="shared" si="81"/>
        <v>0.0068</v>
      </c>
      <c r="N63" s="334" t="s">
        <v>2095</v>
      </c>
      <c r="Z63" s="310">
        <f t="shared" si="82"/>
        <v>0</v>
      </c>
      <c r="AB63" s="310">
        <f t="shared" si="83"/>
        <v>0</v>
      </c>
      <c r="AC63" s="310">
        <f t="shared" si="84"/>
        <v>0</v>
      </c>
      <c r="AD63" s="310">
        <f t="shared" si="85"/>
        <v>0</v>
      </c>
      <c r="AE63" s="310">
        <f t="shared" si="86"/>
        <v>0</v>
      </c>
      <c r="AF63" s="310">
        <f t="shared" si="87"/>
        <v>0</v>
      </c>
      <c r="AG63" s="310">
        <f t="shared" si="88"/>
        <v>0</v>
      </c>
      <c r="AH63" s="310">
        <f t="shared" si="89"/>
        <v>0</v>
      </c>
      <c r="AI63" s="320" t="s">
        <v>2059</v>
      </c>
      <c r="AJ63" s="310">
        <f t="shared" si="90"/>
        <v>0</v>
      </c>
      <c r="AK63" s="310">
        <f t="shared" si="91"/>
        <v>0</v>
      </c>
      <c r="AL63" s="310">
        <f t="shared" si="92"/>
        <v>0</v>
      </c>
      <c r="AN63" s="310">
        <v>21</v>
      </c>
      <c r="AO63" s="310">
        <f t="shared" si="93"/>
        <v>0</v>
      </c>
      <c r="AP63" s="310">
        <f t="shared" si="94"/>
        <v>0</v>
      </c>
      <c r="AQ63" s="335" t="s">
        <v>76</v>
      </c>
      <c r="AV63" s="310">
        <f t="shared" si="95"/>
        <v>0</v>
      </c>
      <c r="AW63" s="310">
        <f t="shared" si="96"/>
        <v>0</v>
      </c>
      <c r="AX63" s="310">
        <f t="shared" si="97"/>
        <v>0</v>
      </c>
      <c r="AY63" s="335" t="s">
        <v>2113</v>
      </c>
      <c r="AZ63" s="335" t="s">
        <v>2168</v>
      </c>
      <c r="BA63" s="320" t="s">
        <v>2131</v>
      </c>
      <c r="BC63" s="310">
        <f t="shared" si="98"/>
        <v>0</v>
      </c>
      <c r="BD63" s="310">
        <f t="shared" si="99"/>
        <v>0</v>
      </c>
      <c r="BE63" s="310">
        <v>0</v>
      </c>
      <c r="BF63" s="310">
        <f t="shared" si="100"/>
        <v>0.0068</v>
      </c>
      <c r="BH63" s="310">
        <f t="shared" si="101"/>
        <v>0</v>
      </c>
      <c r="BI63" s="310">
        <f t="shared" si="102"/>
        <v>0</v>
      </c>
      <c r="BJ63" s="310">
        <f t="shared" si="103"/>
        <v>0</v>
      </c>
      <c r="BK63" s="310"/>
      <c r="BL63" s="310"/>
    </row>
    <row r="64" spans="1:64" ht="15" customHeight="1">
      <c r="A64" s="286" t="s">
        <v>523</v>
      </c>
      <c r="B64" s="287" t="s">
        <v>2059</v>
      </c>
      <c r="C64" s="287" t="s">
        <v>2188</v>
      </c>
      <c r="D64" s="504" t="s">
        <v>2189</v>
      </c>
      <c r="E64" s="504"/>
      <c r="F64" s="287" t="s">
        <v>467</v>
      </c>
      <c r="G64" s="310">
        <v>14</v>
      </c>
      <c r="H64" s="310">
        <v>0</v>
      </c>
      <c r="I64" s="310">
        <f t="shared" si="78"/>
        <v>0</v>
      </c>
      <c r="J64" s="310">
        <f t="shared" si="79"/>
        <v>0</v>
      </c>
      <c r="K64" s="310">
        <f t="shared" si="80"/>
        <v>0</v>
      </c>
      <c r="L64" s="310">
        <v>0.00025</v>
      </c>
      <c r="M64" s="310">
        <f t="shared" si="81"/>
        <v>0.0035</v>
      </c>
      <c r="N64" s="334" t="s">
        <v>2095</v>
      </c>
      <c r="Z64" s="310">
        <f t="shared" si="82"/>
        <v>0</v>
      </c>
      <c r="AB64" s="310">
        <f t="shared" si="83"/>
        <v>0</v>
      </c>
      <c r="AC64" s="310">
        <f t="shared" si="84"/>
        <v>0</v>
      </c>
      <c r="AD64" s="310">
        <f t="shared" si="85"/>
        <v>0</v>
      </c>
      <c r="AE64" s="310">
        <f t="shared" si="86"/>
        <v>0</v>
      </c>
      <c r="AF64" s="310">
        <f t="shared" si="87"/>
        <v>0</v>
      </c>
      <c r="AG64" s="310">
        <f t="shared" si="88"/>
        <v>0</v>
      </c>
      <c r="AH64" s="310">
        <f t="shared" si="89"/>
        <v>0</v>
      </c>
      <c r="AI64" s="320" t="s">
        <v>2059</v>
      </c>
      <c r="AJ64" s="310">
        <f t="shared" si="90"/>
        <v>0</v>
      </c>
      <c r="AK64" s="310">
        <f t="shared" si="91"/>
        <v>0</v>
      </c>
      <c r="AL64" s="310">
        <f t="shared" si="92"/>
        <v>0</v>
      </c>
      <c r="AN64" s="310">
        <v>21</v>
      </c>
      <c r="AO64" s="310">
        <f t="shared" si="93"/>
        <v>0</v>
      </c>
      <c r="AP64" s="310">
        <f t="shared" si="94"/>
        <v>0</v>
      </c>
      <c r="AQ64" s="335" t="s">
        <v>76</v>
      </c>
      <c r="AV64" s="310">
        <f t="shared" si="95"/>
        <v>0</v>
      </c>
      <c r="AW64" s="310">
        <f t="shared" si="96"/>
        <v>0</v>
      </c>
      <c r="AX64" s="310">
        <f t="shared" si="97"/>
        <v>0</v>
      </c>
      <c r="AY64" s="335" t="s">
        <v>2113</v>
      </c>
      <c r="AZ64" s="335" t="s">
        <v>2168</v>
      </c>
      <c r="BA64" s="320" t="s">
        <v>2131</v>
      </c>
      <c r="BC64" s="310">
        <f t="shared" si="98"/>
        <v>0</v>
      </c>
      <c r="BD64" s="310">
        <f t="shared" si="99"/>
        <v>0</v>
      </c>
      <c r="BE64" s="310">
        <v>0</v>
      </c>
      <c r="BF64" s="310">
        <f t="shared" si="100"/>
        <v>0.0035</v>
      </c>
      <c r="BH64" s="310">
        <f t="shared" si="101"/>
        <v>0</v>
      </c>
      <c r="BI64" s="310">
        <f t="shared" si="102"/>
        <v>0</v>
      </c>
      <c r="BJ64" s="310">
        <f t="shared" si="103"/>
        <v>0</v>
      </c>
      <c r="BK64" s="310"/>
      <c r="BL64" s="310"/>
    </row>
    <row r="65" spans="1:64" ht="15" customHeight="1">
      <c r="A65" s="286" t="s">
        <v>528</v>
      </c>
      <c r="B65" s="287" t="s">
        <v>2059</v>
      </c>
      <c r="C65" s="287" t="s">
        <v>2188</v>
      </c>
      <c r="D65" s="504" t="s">
        <v>2190</v>
      </c>
      <c r="E65" s="504"/>
      <c r="F65" s="287" t="s">
        <v>467</v>
      </c>
      <c r="G65" s="310">
        <v>2</v>
      </c>
      <c r="H65" s="310">
        <v>0</v>
      </c>
      <c r="I65" s="310">
        <f t="shared" si="78"/>
        <v>0</v>
      </c>
      <c r="J65" s="310">
        <f t="shared" si="79"/>
        <v>0</v>
      </c>
      <c r="K65" s="310">
        <f t="shared" si="80"/>
        <v>0</v>
      </c>
      <c r="L65" s="310">
        <v>0.00025</v>
      </c>
      <c r="M65" s="310">
        <f t="shared" si="81"/>
        <v>0.0005</v>
      </c>
      <c r="N65" s="334" t="s">
        <v>2095</v>
      </c>
      <c r="Z65" s="310">
        <f t="shared" si="82"/>
        <v>0</v>
      </c>
      <c r="AB65" s="310">
        <f t="shared" si="83"/>
        <v>0</v>
      </c>
      <c r="AC65" s="310">
        <f t="shared" si="84"/>
        <v>0</v>
      </c>
      <c r="AD65" s="310">
        <f t="shared" si="85"/>
        <v>0</v>
      </c>
      <c r="AE65" s="310">
        <f t="shared" si="86"/>
        <v>0</v>
      </c>
      <c r="AF65" s="310">
        <f t="shared" si="87"/>
        <v>0</v>
      </c>
      <c r="AG65" s="310">
        <f t="shared" si="88"/>
        <v>0</v>
      </c>
      <c r="AH65" s="310">
        <f t="shared" si="89"/>
        <v>0</v>
      </c>
      <c r="AI65" s="320" t="s">
        <v>2059</v>
      </c>
      <c r="AJ65" s="310">
        <f t="shared" si="90"/>
        <v>0</v>
      </c>
      <c r="AK65" s="310">
        <f t="shared" si="91"/>
        <v>0</v>
      </c>
      <c r="AL65" s="310">
        <f t="shared" si="92"/>
        <v>0</v>
      </c>
      <c r="AN65" s="310">
        <v>21</v>
      </c>
      <c r="AO65" s="310">
        <f t="shared" si="93"/>
        <v>0</v>
      </c>
      <c r="AP65" s="310">
        <f t="shared" si="94"/>
        <v>0</v>
      </c>
      <c r="AQ65" s="335" t="s">
        <v>76</v>
      </c>
      <c r="AV65" s="310">
        <f t="shared" si="95"/>
        <v>0</v>
      </c>
      <c r="AW65" s="310">
        <f t="shared" si="96"/>
        <v>0</v>
      </c>
      <c r="AX65" s="310">
        <f t="shared" si="97"/>
        <v>0</v>
      </c>
      <c r="AY65" s="335" t="s">
        <v>2113</v>
      </c>
      <c r="AZ65" s="335" t="s">
        <v>2168</v>
      </c>
      <c r="BA65" s="320" t="s">
        <v>2131</v>
      </c>
      <c r="BC65" s="310">
        <f t="shared" si="98"/>
        <v>0</v>
      </c>
      <c r="BD65" s="310">
        <f t="shared" si="99"/>
        <v>0</v>
      </c>
      <c r="BE65" s="310">
        <v>0</v>
      </c>
      <c r="BF65" s="310">
        <f t="shared" si="100"/>
        <v>0.0005</v>
      </c>
      <c r="BH65" s="310">
        <f t="shared" si="101"/>
        <v>0</v>
      </c>
      <c r="BI65" s="310">
        <f t="shared" si="102"/>
        <v>0</v>
      </c>
      <c r="BJ65" s="310">
        <f t="shared" si="103"/>
        <v>0</v>
      </c>
      <c r="BK65" s="310"/>
      <c r="BL65" s="310"/>
    </row>
    <row r="66" spans="1:64" ht="15" customHeight="1">
      <c r="A66" s="286" t="s">
        <v>534</v>
      </c>
      <c r="B66" s="287" t="s">
        <v>2059</v>
      </c>
      <c r="C66" s="287" t="s">
        <v>2191</v>
      </c>
      <c r="D66" s="504" t="s">
        <v>2192</v>
      </c>
      <c r="E66" s="504"/>
      <c r="F66" s="287" t="s">
        <v>467</v>
      </c>
      <c r="G66" s="310">
        <v>18</v>
      </c>
      <c r="H66" s="310">
        <v>0</v>
      </c>
      <c r="I66" s="310">
        <f t="shared" si="78"/>
        <v>0</v>
      </c>
      <c r="J66" s="310">
        <f t="shared" si="79"/>
        <v>0</v>
      </c>
      <c r="K66" s="310">
        <f t="shared" si="80"/>
        <v>0</v>
      </c>
      <c r="L66" s="310">
        <v>0</v>
      </c>
      <c r="M66" s="310">
        <f t="shared" si="81"/>
        <v>0</v>
      </c>
      <c r="N66" s="334" t="s">
        <v>2193</v>
      </c>
      <c r="Z66" s="310">
        <f t="shared" si="82"/>
        <v>0</v>
      </c>
      <c r="AB66" s="310">
        <f t="shared" si="83"/>
        <v>0</v>
      </c>
      <c r="AC66" s="310">
        <f t="shared" si="84"/>
        <v>0</v>
      </c>
      <c r="AD66" s="310">
        <f t="shared" si="85"/>
        <v>0</v>
      </c>
      <c r="AE66" s="310">
        <f t="shared" si="86"/>
        <v>0</v>
      </c>
      <c r="AF66" s="310">
        <f t="shared" si="87"/>
        <v>0</v>
      </c>
      <c r="AG66" s="310">
        <f t="shared" si="88"/>
        <v>0</v>
      </c>
      <c r="AH66" s="310">
        <f t="shared" si="89"/>
        <v>0</v>
      </c>
      <c r="AI66" s="320" t="s">
        <v>2059</v>
      </c>
      <c r="AJ66" s="310">
        <f t="shared" si="90"/>
        <v>0</v>
      </c>
      <c r="AK66" s="310">
        <f t="shared" si="91"/>
        <v>0</v>
      </c>
      <c r="AL66" s="310">
        <f t="shared" si="92"/>
        <v>0</v>
      </c>
      <c r="AN66" s="310">
        <v>21</v>
      </c>
      <c r="AO66" s="310">
        <f t="shared" si="93"/>
        <v>0</v>
      </c>
      <c r="AP66" s="310">
        <f t="shared" si="94"/>
        <v>0</v>
      </c>
      <c r="AQ66" s="335" t="s">
        <v>76</v>
      </c>
      <c r="AV66" s="310">
        <f t="shared" si="95"/>
        <v>0</v>
      </c>
      <c r="AW66" s="310">
        <f t="shared" si="96"/>
        <v>0</v>
      </c>
      <c r="AX66" s="310">
        <f t="shared" si="97"/>
        <v>0</v>
      </c>
      <c r="AY66" s="335" t="s">
        <v>2113</v>
      </c>
      <c r="AZ66" s="335" t="s">
        <v>2168</v>
      </c>
      <c r="BA66" s="320" t="s">
        <v>2131</v>
      </c>
      <c r="BC66" s="310">
        <f t="shared" si="98"/>
        <v>0</v>
      </c>
      <c r="BD66" s="310">
        <f t="shared" si="99"/>
        <v>0</v>
      </c>
      <c r="BE66" s="310">
        <v>0</v>
      </c>
      <c r="BF66" s="310">
        <f t="shared" si="100"/>
        <v>0</v>
      </c>
      <c r="BH66" s="310">
        <f t="shared" si="101"/>
        <v>0</v>
      </c>
      <c r="BI66" s="310">
        <f t="shared" si="102"/>
        <v>0</v>
      </c>
      <c r="BJ66" s="310">
        <f t="shared" si="103"/>
        <v>0</v>
      </c>
      <c r="BK66" s="310"/>
      <c r="BL66" s="310"/>
    </row>
    <row r="67" spans="1:14" ht="15" customHeight="1">
      <c r="A67" s="329" t="s">
        <v>19</v>
      </c>
      <c r="B67" s="330" t="s">
        <v>2057</v>
      </c>
      <c r="C67" s="330" t="s">
        <v>19</v>
      </c>
      <c r="D67" s="553" t="s">
        <v>2062</v>
      </c>
      <c r="E67" s="553"/>
      <c r="F67" s="331" t="s">
        <v>39</v>
      </c>
      <c r="G67" s="331" t="s">
        <v>39</v>
      </c>
      <c r="H67" s="331" t="s">
        <v>39</v>
      </c>
      <c r="I67" s="332">
        <f>I68</f>
        <v>0</v>
      </c>
      <c r="J67" s="332">
        <f>J68</f>
        <v>0</v>
      </c>
      <c r="K67" s="332">
        <f>K68</f>
        <v>0</v>
      </c>
      <c r="L67" s="320" t="s">
        <v>19</v>
      </c>
      <c r="M67" s="332">
        <f>M68</f>
        <v>2.08864</v>
      </c>
      <c r="N67" s="333" t="s">
        <v>19</v>
      </c>
    </row>
    <row r="68" spans="1:47" ht="15" customHeight="1">
      <c r="A68" s="329" t="s">
        <v>19</v>
      </c>
      <c r="B68" s="330" t="s">
        <v>2057</v>
      </c>
      <c r="C68" s="330" t="s">
        <v>2057</v>
      </c>
      <c r="D68" s="553" t="s">
        <v>2058</v>
      </c>
      <c r="E68" s="553"/>
      <c r="F68" s="331" t="s">
        <v>39</v>
      </c>
      <c r="G68" s="331" t="s">
        <v>39</v>
      </c>
      <c r="H68" s="331" t="s">
        <v>39</v>
      </c>
      <c r="I68" s="332">
        <f>SUM(I69:I77)</f>
        <v>0</v>
      </c>
      <c r="J68" s="332">
        <f>SUM(J69:J77)</f>
        <v>0</v>
      </c>
      <c r="K68" s="332">
        <f>SUM(K69:K77)</f>
        <v>0</v>
      </c>
      <c r="L68" s="320" t="s">
        <v>19</v>
      </c>
      <c r="M68" s="332">
        <f>SUM(M69:M77)</f>
        <v>2.08864</v>
      </c>
      <c r="N68" s="333" t="s">
        <v>19</v>
      </c>
      <c r="AI68" s="320" t="s">
        <v>2057</v>
      </c>
      <c r="AS68" s="332">
        <f>SUM(AJ69:AJ77)</f>
        <v>0</v>
      </c>
      <c r="AT68" s="332">
        <f>SUM(AK69:AK77)</f>
        <v>0</v>
      </c>
      <c r="AU68" s="332">
        <f>SUM(AL69:AL77)</f>
        <v>0</v>
      </c>
    </row>
    <row r="69" spans="1:64" ht="15" customHeight="1">
      <c r="A69" s="286" t="s">
        <v>540</v>
      </c>
      <c r="B69" s="287" t="s">
        <v>2057</v>
      </c>
      <c r="C69" s="287" t="s">
        <v>2194</v>
      </c>
      <c r="D69" s="504" t="s">
        <v>2195</v>
      </c>
      <c r="E69" s="504"/>
      <c r="F69" s="287" t="s">
        <v>2196</v>
      </c>
      <c r="G69" s="310">
        <v>0.617</v>
      </c>
      <c r="H69" s="310">
        <v>0</v>
      </c>
      <c r="I69" s="310">
        <f aca="true" t="shared" si="104" ref="I69:I77">G69*AO69</f>
        <v>0</v>
      </c>
      <c r="J69" s="310">
        <f aca="true" t="shared" si="105" ref="J69:J77">G69*AP69</f>
        <v>0</v>
      </c>
      <c r="K69" s="310">
        <f aca="true" t="shared" si="106" ref="K69:K77">G69*H69</f>
        <v>0</v>
      </c>
      <c r="L69" s="310">
        <v>0</v>
      </c>
      <c r="M69" s="310">
        <f aca="true" t="shared" si="107" ref="M69:M77">G69*L69</f>
        <v>0</v>
      </c>
      <c r="N69" s="334" t="s">
        <v>2095</v>
      </c>
      <c r="Z69" s="310">
        <f aca="true" t="shared" si="108" ref="Z69:Z77">IF(AQ69="5",BJ69,0)</f>
        <v>0</v>
      </c>
      <c r="AB69" s="310">
        <f aca="true" t="shared" si="109" ref="AB69:AB77">IF(AQ69="1",BH69,0)</f>
        <v>0</v>
      </c>
      <c r="AC69" s="310">
        <f aca="true" t="shared" si="110" ref="AC69:AC77">IF(AQ69="1",BI69,0)</f>
        <v>0</v>
      </c>
      <c r="AD69" s="310">
        <f aca="true" t="shared" si="111" ref="AD69:AD77">IF(AQ69="7",BH69,0)</f>
        <v>0</v>
      </c>
      <c r="AE69" s="310">
        <f aca="true" t="shared" si="112" ref="AE69:AE77">IF(AQ69="7",BI69,0)</f>
        <v>0</v>
      </c>
      <c r="AF69" s="310">
        <f aca="true" t="shared" si="113" ref="AF69:AF77">IF(AQ69="2",BH69,0)</f>
        <v>0</v>
      </c>
      <c r="AG69" s="310">
        <f aca="true" t="shared" si="114" ref="AG69:AG77">IF(AQ69="2",BI69,0)</f>
        <v>0</v>
      </c>
      <c r="AH69" s="310">
        <f aca="true" t="shared" si="115" ref="AH69:AH77">IF(AQ69="0",BJ69,0)</f>
        <v>0</v>
      </c>
      <c r="AI69" s="320" t="s">
        <v>2057</v>
      </c>
      <c r="AJ69" s="310">
        <f aca="true" t="shared" si="116" ref="AJ69:AJ77">IF(AN69=0,K69,0)</f>
        <v>0</v>
      </c>
      <c r="AK69" s="310">
        <f aca="true" t="shared" si="117" ref="AK69:AK77">IF(AN69=15,K69,0)</f>
        <v>0</v>
      </c>
      <c r="AL69" s="310">
        <f aca="true" t="shared" si="118" ref="AL69:AL77">IF(AN69=21,K69,0)</f>
        <v>0</v>
      </c>
      <c r="AN69" s="310">
        <v>21</v>
      </c>
      <c r="AO69" s="310">
        <f>H69*0</f>
        <v>0</v>
      </c>
      <c r="AP69" s="310">
        <f>H69*(1-0)</f>
        <v>0</v>
      </c>
      <c r="AQ69" s="335" t="s">
        <v>86</v>
      </c>
      <c r="AV69" s="310">
        <f aca="true" t="shared" si="119" ref="AV69:AV77">AW69+AX69</f>
        <v>0</v>
      </c>
      <c r="AW69" s="310">
        <f aca="true" t="shared" si="120" ref="AW69:AW77">G69*AO69</f>
        <v>0</v>
      </c>
      <c r="AX69" s="310">
        <f aca="true" t="shared" si="121" ref="AX69:AX77">G69*AP69</f>
        <v>0</v>
      </c>
      <c r="AY69" s="335" t="s">
        <v>2123</v>
      </c>
      <c r="AZ69" s="335" t="s">
        <v>2197</v>
      </c>
      <c r="BA69" s="320" t="s">
        <v>2123</v>
      </c>
      <c r="BC69" s="310">
        <f aca="true" t="shared" si="122" ref="BC69:BC77">AW69+AX69</f>
        <v>0</v>
      </c>
      <c r="BD69" s="310">
        <f aca="true" t="shared" si="123" ref="BD69:BD77">H69/(100-BE69)*100</f>
        <v>0</v>
      </c>
      <c r="BE69" s="310">
        <v>0</v>
      </c>
      <c r="BF69" s="310">
        <f aca="true" t="shared" si="124" ref="BF69:BF77">M69</f>
        <v>0</v>
      </c>
      <c r="BH69" s="310">
        <f aca="true" t="shared" si="125" ref="BH69:BH77">G69*AO69</f>
        <v>0</v>
      </c>
      <c r="BI69" s="310">
        <f aca="true" t="shared" si="126" ref="BI69:BI77">G69*AP69</f>
        <v>0</v>
      </c>
      <c r="BJ69" s="310">
        <f aca="true" t="shared" si="127" ref="BJ69:BJ77">G69*H69</f>
        <v>0</v>
      </c>
      <c r="BK69" s="310"/>
      <c r="BL69" s="310"/>
    </row>
    <row r="70" spans="1:64" ht="15" customHeight="1">
      <c r="A70" s="286" t="s">
        <v>545</v>
      </c>
      <c r="B70" s="287" t="s">
        <v>2057</v>
      </c>
      <c r="C70" s="287" t="s">
        <v>2198</v>
      </c>
      <c r="D70" s="504" t="s">
        <v>2199</v>
      </c>
      <c r="E70" s="504"/>
      <c r="F70" s="287" t="s">
        <v>467</v>
      </c>
      <c r="G70" s="310">
        <v>10</v>
      </c>
      <c r="H70" s="310">
        <v>0</v>
      </c>
      <c r="I70" s="310">
        <f t="shared" si="104"/>
        <v>0</v>
      </c>
      <c r="J70" s="310">
        <f t="shared" si="105"/>
        <v>0</v>
      </c>
      <c r="K70" s="310">
        <f t="shared" si="106"/>
        <v>0</v>
      </c>
      <c r="L70" s="310">
        <v>0</v>
      </c>
      <c r="M70" s="310">
        <f t="shared" si="107"/>
        <v>0</v>
      </c>
      <c r="N70" s="334" t="s">
        <v>2193</v>
      </c>
      <c r="Z70" s="310">
        <f t="shared" si="108"/>
        <v>0</v>
      </c>
      <c r="AB70" s="310">
        <f t="shared" si="109"/>
        <v>0</v>
      </c>
      <c r="AC70" s="310">
        <f t="shared" si="110"/>
        <v>0</v>
      </c>
      <c r="AD70" s="310">
        <f t="shared" si="111"/>
        <v>0</v>
      </c>
      <c r="AE70" s="310">
        <f t="shared" si="112"/>
        <v>0</v>
      </c>
      <c r="AF70" s="310">
        <f t="shared" si="113"/>
        <v>0</v>
      </c>
      <c r="AG70" s="310">
        <f t="shared" si="114"/>
        <v>0</v>
      </c>
      <c r="AH70" s="310">
        <f t="shared" si="115"/>
        <v>0</v>
      </c>
      <c r="AI70" s="320" t="s">
        <v>2057</v>
      </c>
      <c r="AJ70" s="310">
        <f t="shared" si="116"/>
        <v>0</v>
      </c>
      <c r="AK70" s="310">
        <f t="shared" si="117"/>
        <v>0</v>
      </c>
      <c r="AL70" s="310">
        <f t="shared" si="118"/>
        <v>0</v>
      </c>
      <c r="AN70" s="310">
        <v>21</v>
      </c>
      <c r="AO70" s="310">
        <f>H70*0</f>
        <v>0</v>
      </c>
      <c r="AP70" s="310">
        <f>H70*(1-0)</f>
        <v>0</v>
      </c>
      <c r="AQ70" s="335" t="s">
        <v>86</v>
      </c>
      <c r="AV70" s="310">
        <f t="shared" si="119"/>
        <v>0</v>
      </c>
      <c r="AW70" s="310">
        <f t="shared" si="120"/>
        <v>0</v>
      </c>
      <c r="AX70" s="310">
        <f t="shared" si="121"/>
        <v>0</v>
      </c>
      <c r="AY70" s="335" t="s">
        <v>2123</v>
      </c>
      <c r="AZ70" s="335" t="s">
        <v>2197</v>
      </c>
      <c r="BA70" s="320" t="s">
        <v>2123</v>
      </c>
      <c r="BC70" s="310">
        <f t="shared" si="122"/>
        <v>0</v>
      </c>
      <c r="BD70" s="310">
        <f t="shared" si="123"/>
        <v>0</v>
      </c>
      <c r="BE70" s="310">
        <v>0</v>
      </c>
      <c r="BF70" s="310">
        <f t="shared" si="124"/>
        <v>0</v>
      </c>
      <c r="BH70" s="310">
        <f t="shared" si="125"/>
        <v>0</v>
      </c>
      <c r="BI70" s="310">
        <f t="shared" si="126"/>
        <v>0</v>
      </c>
      <c r="BJ70" s="310">
        <f t="shared" si="127"/>
        <v>0</v>
      </c>
      <c r="BK70" s="310"/>
      <c r="BL70" s="310"/>
    </row>
    <row r="71" spans="1:64" ht="15" customHeight="1">
      <c r="A71" s="286" t="s">
        <v>550</v>
      </c>
      <c r="B71" s="287" t="s">
        <v>2057</v>
      </c>
      <c r="C71" s="287" t="s">
        <v>2200</v>
      </c>
      <c r="D71" s="504" t="s">
        <v>2201</v>
      </c>
      <c r="E71" s="504"/>
      <c r="F71" s="287" t="s">
        <v>308</v>
      </c>
      <c r="G71" s="310">
        <v>617</v>
      </c>
      <c r="H71" s="310">
        <v>0</v>
      </c>
      <c r="I71" s="310">
        <f t="shared" si="104"/>
        <v>0</v>
      </c>
      <c r="J71" s="310">
        <f t="shared" si="105"/>
        <v>0</v>
      </c>
      <c r="K71" s="310">
        <f t="shared" si="106"/>
        <v>0</v>
      </c>
      <c r="L71" s="310">
        <v>0</v>
      </c>
      <c r="M71" s="310">
        <f t="shared" si="107"/>
        <v>0</v>
      </c>
      <c r="N71" s="334" t="s">
        <v>2095</v>
      </c>
      <c r="Z71" s="310">
        <f t="shared" si="108"/>
        <v>0</v>
      </c>
      <c r="AB71" s="310">
        <f t="shared" si="109"/>
        <v>0</v>
      </c>
      <c r="AC71" s="310">
        <f t="shared" si="110"/>
        <v>0</v>
      </c>
      <c r="AD71" s="310">
        <f t="shared" si="111"/>
        <v>0</v>
      </c>
      <c r="AE71" s="310">
        <f t="shared" si="112"/>
        <v>0</v>
      </c>
      <c r="AF71" s="310">
        <f t="shared" si="113"/>
        <v>0</v>
      </c>
      <c r="AG71" s="310">
        <f t="shared" si="114"/>
        <v>0</v>
      </c>
      <c r="AH71" s="310">
        <f t="shared" si="115"/>
        <v>0</v>
      </c>
      <c r="AI71" s="320" t="s">
        <v>2057</v>
      </c>
      <c r="AJ71" s="310">
        <f t="shared" si="116"/>
        <v>0</v>
      </c>
      <c r="AK71" s="310">
        <f t="shared" si="117"/>
        <v>0</v>
      </c>
      <c r="AL71" s="310">
        <f t="shared" si="118"/>
        <v>0</v>
      </c>
      <c r="AN71" s="310">
        <v>21</v>
      </c>
      <c r="AO71" s="310">
        <f>H71*0</f>
        <v>0</v>
      </c>
      <c r="AP71" s="310">
        <f>H71*(1-0)</f>
        <v>0</v>
      </c>
      <c r="AQ71" s="335" t="s">
        <v>86</v>
      </c>
      <c r="AV71" s="310">
        <f t="shared" si="119"/>
        <v>0</v>
      </c>
      <c r="AW71" s="310">
        <f t="shared" si="120"/>
        <v>0</v>
      </c>
      <c r="AX71" s="310">
        <f t="shared" si="121"/>
        <v>0</v>
      </c>
      <c r="AY71" s="335" t="s">
        <v>2123</v>
      </c>
      <c r="AZ71" s="335" t="s">
        <v>2197</v>
      </c>
      <c r="BA71" s="320" t="s">
        <v>2123</v>
      </c>
      <c r="BC71" s="310">
        <f t="shared" si="122"/>
        <v>0</v>
      </c>
      <c r="BD71" s="310">
        <f t="shared" si="123"/>
        <v>0</v>
      </c>
      <c r="BE71" s="310">
        <v>0</v>
      </c>
      <c r="BF71" s="310">
        <f t="shared" si="124"/>
        <v>0</v>
      </c>
      <c r="BH71" s="310">
        <f t="shared" si="125"/>
        <v>0</v>
      </c>
      <c r="BI71" s="310">
        <f t="shared" si="126"/>
        <v>0</v>
      </c>
      <c r="BJ71" s="310">
        <f t="shared" si="127"/>
        <v>0</v>
      </c>
      <c r="BK71" s="310"/>
      <c r="BL71" s="310"/>
    </row>
    <row r="72" spans="1:64" ht="15" customHeight="1">
      <c r="A72" s="286" t="s">
        <v>554</v>
      </c>
      <c r="B72" s="287" t="s">
        <v>2057</v>
      </c>
      <c r="C72" s="287" t="s">
        <v>2202</v>
      </c>
      <c r="D72" s="504" t="s">
        <v>2203</v>
      </c>
      <c r="E72" s="504"/>
      <c r="F72" s="287" t="s">
        <v>467</v>
      </c>
      <c r="G72" s="310">
        <v>16</v>
      </c>
      <c r="H72" s="310">
        <v>0</v>
      </c>
      <c r="I72" s="310">
        <f t="shared" si="104"/>
        <v>0</v>
      </c>
      <c r="J72" s="310">
        <f t="shared" si="105"/>
        <v>0</v>
      </c>
      <c r="K72" s="310">
        <f t="shared" si="106"/>
        <v>0</v>
      </c>
      <c r="L72" s="310">
        <v>0.13054</v>
      </c>
      <c r="M72" s="310">
        <f t="shared" si="107"/>
        <v>2.08864</v>
      </c>
      <c r="N72" s="334" t="s">
        <v>2095</v>
      </c>
      <c r="Z72" s="310">
        <f t="shared" si="108"/>
        <v>0</v>
      </c>
      <c r="AB72" s="310">
        <f t="shared" si="109"/>
        <v>0</v>
      </c>
      <c r="AC72" s="310">
        <f t="shared" si="110"/>
        <v>0</v>
      </c>
      <c r="AD72" s="310">
        <f t="shared" si="111"/>
        <v>0</v>
      </c>
      <c r="AE72" s="310">
        <f t="shared" si="112"/>
        <v>0</v>
      </c>
      <c r="AF72" s="310">
        <f t="shared" si="113"/>
        <v>0</v>
      </c>
      <c r="AG72" s="310">
        <f t="shared" si="114"/>
        <v>0</v>
      </c>
      <c r="AH72" s="310">
        <f t="shared" si="115"/>
        <v>0</v>
      </c>
      <c r="AI72" s="320" t="s">
        <v>2057</v>
      </c>
      <c r="AJ72" s="310">
        <f t="shared" si="116"/>
        <v>0</v>
      </c>
      <c r="AK72" s="310">
        <f t="shared" si="117"/>
        <v>0</v>
      </c>
      <c r="AL72" s="310">
        <f t="shared" si="118"/>
        <v>0</v>
      </c>
      <c r="AN72" s="310">
        <v>21</v>
      </c>
      <c r="AO72" s="310">
        <f>H72*0.319551934826884</f>
        <v>0</v>
      </c>
      <c r="AP72" s="310">
        <f>H72*(1-0.319551934826884)</f>
        <v>0</v>
      </c>
      <c r="AQ72" s="335" t="s">
        <v>86</v>
      </c>
      <c r="AV72" s="310">
        <f t="shared" si="119"/>
        <v>0</v>
      </c>
      <c r="AW72" s="310">
        <f t="shared" si="120"/>
        <v>0</v>
      </c>
      <c r="AX72" s="310">
        <f t="shared" si="121"/>
        <v>0</v>
      </c>
      <c r="AY72" s="335" t="s">
        <v>2123</v>
      </c>
      <c r="AZ72" s="335" t="s">
        <v>2197</v>
      </c>
      <c r="BA72" s="320" t="s">
        <v>2123</v>
      </c>
      <c r="BC72" s="310">
        <f t="shared" si="122"/>
        <v>0</v>
      </c>
      <c r="BD72" s="310">
        <f t="shared" si="123"/>
        <v>0</v>
      </c>
      <c r="BE72" s="310">
        <v>0</v>
      </c>
      <c r="BF72" s="310">
        <f t="shared" si="124"/>
        <v>2.08864</v>
      </c>
      <c r="BH72" s="310">
        <f t="shared" si="125"/>
        <v>0</v>
      </c>
      <c r="BI72" s="310">
        <f t="shared" si="126"/>
        <v>0</v>
      </c>
      <c r="BJ72" s="310">
        <f t="shared" si="127"/>
        <v>0</v>
      </c>
      <c r="BK72" s="310"/>
      <c r="BL72" s="310"/>
    </row>
    <row r="73" spans="1:64" ht="15" customHeight="1">
      <c r="A73" s="286" t="s">
        <v>560</v>
      </c>
      <c r="B73" s="287" t="s">
        <v>2057</v>
      </c>
      <c r="C73" s="287" t="s">
        <v>2204</v>
      </c>
      <c r="D73" s="504" t="s">
        <v>2205</v>
      </c>
      <c r="E73" s="504"/>
      <c r="F73" s="287" t="s">
        <v>308</v>
      </c>
      <c r="G73" s="310">
        <v>438</v>
      </c>
      <c r="H73" s="310">
        <v>0</v>
      </c>
      <c r="I73" s="310">
        <f t="shared" si="104"/>
        <v>0</v>
      </c>
      <c r="J73" s="310">
        <f t="shared" si="105"/>
        <v>0</v>
      </c>
      <c r="K73" s="310">
        <f t="shared" si="106"/>
        <v>0</v>
      </c>
      <c r="L73" s="310">
        <v>0</v>
      </c>
      <c r="M73" s="310">
        <f t="shared" si="107"/>
        <v>0</v>
      </c>
      <c r="N73" s="334" t="s">
        <v>2193</v>
      </c>
      <c r="Z73" s="310">
        <f t="shared" si="108"/>
        <v>0</v>
      </c>
      <c r="AB73" s="310">
        <f t="shared" si="109"/>
        <v>0</v>
      </c>
      <c r="AC73" s="310">
        <f t="shared" si="110"/>
        <v>0</v>
      </c>
      <c r="AD73" s="310">
        <f t="shared" si="111"/>
        <v>0</v>
      </c>
      <c r="AE73" s="310">
        <f t="shared" si="112"/>
        <v>0</v>
      </c>
      <c r="AF73" s="310">
        <f t="shared" si="113"/>
        <v>0</v>
      </c>
      <c r="AG73" s="310">
        <f t="shared" si="114"/>
        <v>0</v>
      </c>
      <c r="AH73" s="310">
        <f t="shared" si="115"/>
        <v>0</v>
      </c>
      <c r="AI73" s="320" t="s">
        <v>2057</v>
      </c>
      <c r="AJ73" s="310">
        <f t="shared" si="116"/>
        <v>0</v>
      </c>
      <c r="AK73" s="310">
        <f t="shared" si="117"/>
        <v>0</v>
      </c>
      <c r="AL73" s="310">
        <f t="shared" si="118"/>
        <v>0</v>
      </c>
      <c r="AN73" s="310">
        <v>21</v>
      </c>
      <c r="AO73" s="310">
        <f>H73*0</f>
        <v>0</v>
      </c>
      <c r="AP73" s="310">
        <f>H73*(1-0)</f>
        <v>0</v>
      </c>
      <c r="AQ73" s="335" t="s">
        <v>86</v>
      </c>
      <c r="AV73" s="310">
        <f t="shared" si="119"/>
        <v>0</v>
      </c>
      <c r="AW73" s="310">
        <f t="shared" si="120"/>
        <v>0</v>
      </c>
      <c r="AX73" s="310">
        <f t="shared" si="121"/>
        <v>0</v>
      </c>
      <c r="AY73" s="335" t="s">
        <v>2123</v>
      </c>
      <c r="AZ73" s="335" t="s">
        <v>2197</v>
      </c>
      <c r="BA73" s="320" t="s">
        <v>2123</v>
      </c>
      <c r="BC73" s="310">
        <f t="shared" si="122"/>
        <v>0</v>
      </c>
      <c r="BD73" s="310">
        <f t="shared" si="123"/>
        <v>0</v>
      </c>
      <c r="BE73" s="310">
        <v>0</v>
      </c>
      <c r="BF73" s="310">
        <f t="shared" si="124"/>
        <v>0</v>
      </c>
      <c r="BH73" s="310">
        <f t="shared" si="125"/>
        <v>0</v>
      </c>
      <c r="BI73" s="310">
        <f t="shared" si="126"/>
        <v>0</v>
      </c>
      <c r="BJ73" s="310">
        <f t="shared" si="127"/>
        <v>0</v>
      </c>
      <c r="BK73" s="310"/>
      <c r="BL73" s="310"/>
    </row>
    <row r="74" spans="1:64" ht="15" customHeight="1">
      <c r="A74" s="286" t="s">
        <v>564</v>
      </c>
      <c r="B74" s="287" t="s">
        <v>2057</v>
      </c>
      <c r="C74" s="287" t="s">
        <v>2206</v>
      </c>
      <c r="D74" s="504" t="s">
        <v>2207</v>
      </c>
      <c r="E74" s="504"/>
      <c r="F74" s="287" t="s">
        <v>308</v>
      </c>
      <c r="G74" s="310">
        <v>617</v>
      </c>
      <c r="H74" s="310">
        <v>0</v>
      </c>
      <c r="I74" s="310">
        <f t="shared" si="104"/>
        <v>0</v>
      </c>
      <c r="J74" s="310">
        <f t="shared" si="105"/>
        <v>0</v>
      </c>
      <c r="K74" s="310">
        <f t="shared" si="106"/>
        <v>0</v>
      </c>
      <c r="L74" s="310">
        <v>0</v>
      </c>
      <c r="M74" s="310">
        <f t="shared" si="107"/>
        <v>0</v>
      </c>
      <c r="N74" s="334" t="s">
        <v>2095</v>
      </c>
      <c r="Z74" s="310">
        <f t="shared" si="108"/>
        <v>0</v>
      </c>
      <c r="AB74" s="310">
        <f t="shared" si="109"/>
        <v>0</v>
      </c>
      <c r="AC74" s="310">
        <f t="shared" si="110"/>
        <v>0</v>
      </c>
      <c r="AD74" s="310">
        <f t="shared" si="111"/>
        <v>0</v>
      </c>
      <c r="AE74" s="310">
        <f t="shared" si="112"/>
        <v>0</v>
      </c>
      <c r="AF74" s="310">
        <f t="shared" si="113"/>
        <v>0</v>
      </c>
      <c r="AG74" s="310">
        <f t="shared" si="114"/>
        <v>0</v>
      </c>
      <c r="AH74" s="310">
        <f t="shared" si="115"/>
        <v>0</v>
      </c>
      <c r="AI74" s="320" t="s">
        <v>2057</v>
      </c>
      <c r="AJ74" s="310">
        <f t="shared" si="116"/>
        <v>0</v>
      </c>
      <c r="AK74" s="310">
        <f t="shared" si="117"/>
        <v>0</v>
      </c>
      <c r="AL74" s="310">
        <f t="shared" si="118"/>
        <v>0</v>
      </c>
      <c r="AN74" s="310">
        <v>21</v>
      </c>
      <c r="AO74" s="310">
        <f>H74*0</f>
        <v>0</v>
      </c>
      <c r="AP74" s="310">
        <f>H74*(1-0)</f>
        <v>0</v>
      </c>
      <c r="AQ74" s="335" t="s">
        <v>86</v>
      </c>
      <c r="AV74" s="310">
        <f t="shared" si="119"/>
        <v>0</v>
      </c>
      <c r="AW74" s="310">
        <f t="shared" si="120"/>
        <v>0</v>
      </c>
      <c r="AX74" s="310">
        <f t="shared" si="121"/>
        <v>0</v>
      </c>
      <c r="AY74" s="335" t="s">
        <v>2123</v>
      </c>
      <c r="AZ74" s="335" t="s">
        <v>2197</v>
      </c>
      <c r="BA74" s="320" t="s">
        <v>2123</v>
      </c>
      <c r="BC74" s="310">
        <f t="shared" si="122"/>
        <v>0</v>
      </c>
      <c r="BD74" s="310">
        <f t="shared" si="123"/>
        <v>0</v>
      </c>
      <c r="BE74" s="310">
        <v>0</v>
      </c>
      <c r="BF74" s="310">
        <f t="shared" si="124"/>
        <v>0</v>
      </c>
      <c r="BH74" s="310">
        <f t="shared" si="125"/>
        <v>0</v>
      </c>
      <c r="BI74" s="310">
        <f t="shared" si="126"/>
        <v>0</v>
      </c>
      <c r="BJ74" s="310">
        <f t="shared" si="127"/>
        <v>0</v>
      </c>
      <c r="BK74" s="310"/>
      <c r="BL74" s="310"/>
    </row>
    <row r="75" spans="1:64" ht="15" customHeight="1">
      <c r="A75" s="286" t="s">
        <v>573</v>
      </c>
      <c r="B75" s="287" t="s">
        <v>2057</v>
      </c>
      <c r="C75" s="287" t="s">
        <v>2208</v>
      </c>
      <c r="D75" s="504" t="s">
        <v>2209</v>
      </c>
      <c r="E75" s="504"/>
      <c r="F75" s="287" t="s">
        <v>324</v>
      </c>
      <c r="G75" s="310">
        <v>26.25</v>
      </c>
      <c r="H75" s="310">
        <v>0</v>
      </c>
      <c r="I75" s="310">
        <f t="shared" si="104"/>
        <v>0</v>
      </c>
      <c r="J75" s="310">
        <f t="shared" si="105"/>
        <v>0</v>
      </c>
      <c r="K75" s="310">
        <f t="shared" si="106"/>
        <v>0</v>
      </c>
      <c r="L75" s="310">
        <v>0</v>
      </c>
      <c r="M75" s="310">
        <f t="shared" si="107"/>
        <v>0</v>
      </c>
      <c r="N75" s="334" t="s">
        <v>2193</v>
      </c>
      <c r="Z75" s="310">
        <f t="shared" si="108"/>
        <v>0</v>
      </c>
      <c r="AB75" s="310">
        <f t="shared" si="109"/>
        <v>0</v>
      </c>
      <c r="AC75" s="310">
        <f t="shared" si="110"/>
        <v>0</v>
      </c>
      <c r="AD75" s="310">
        <f t="shared" si="111"/>
        <v>0</v>
      </c>
      <c r="AE75" s="310">
        <f t="shared" si="112"/>
        <v>0</v>
      </c>
      <c r="AF75" s="310">
        <f t="shared" si="113"/>
        <v>0</v>
      </c>
      <c r="AG75" s="310">
        <f t="shared" si="114"/>
        <v>0</v>
      </c>
      <c r="AH75" s="310">
        <f t="shared" si="115"/>
        <v>0</v>
      </c>
      <c r="AI75" s="320" t="s">
        <v>2057</v>
      </c>
      <c r="AJ75" s="310">
        <f t="shared" si="116"/>
        <v>0</v>
      </c>
      <c r="AK75" s="310">
        <f t="shared" si="117"/>
        <v>0</v>
      </c>
      <c r="AL75" s="310">
        <f t="shared" si="118"/>
        <v>0</v>
      </c>
      <c r="AN75" s="310">
        <v>21</v>
      </c>
      <c r="AO75" s="310">
        <f>H75*0</f>
        <v>0</v>
      </c>
      <c r="AP75" s="310">
        <f>H75*(1-0)</f>
        <v>0</v>
      </c>
      <c r="AQ75" s="335" t="s">
        <v>86</v>
      </c>
      <c r="AV75" s="310">
        <f t="shared" si="119"/>
        <v>0</v>
      </c>
      <c r="AW75" s="310">
        <f t="shared" si="120"/>
        <v>0</v>
      </c>
      <c r="AX75" s="310">
        <f t="shared" si="121"/>
        <v>0</v>
      </c>
      <c r="AY75" s="335" t="s">
        <v>2123</v>
      </c>
      <c r="AZ75" s="335" t="s">
        <v>2197</v>
      </c>
      <c r="BA75" s="320" t="s">
        <v>2123</v>
      </c>
      <c r="BC75" s="310">
        <f t="shared" si="122"/>
        <v>0</v>
      </c>
      <c r="BD75" s="310">
        <f t="shared" si="123"/>
        <v>0</v>
      </c>
      <c r="BE75" s="310">
        <v>0</v>
      </c>
      <c r="BF75" s="310">
        <f t="shared" si="124"/>
        <v>0</v>
      </c>
      <c r="BH75" s="310">
        <f t="shared" si="125"/>
        <v>0</v>
      </c>
      <c r="BI75" s="310">
        <f t="shared" si="126"/>
        <v>0</v>
      </c>
      <c r="BJ75" s="310">
        <f t="shared" si="127"/>
        <v>0</v>
      </c>
      <c r="BK75" s="310"/>
      <c r="BL75" s="310"/>
    </row>
    <row r="76" spans="1:64" ht="15" customHeight="1">
      <c r="A76" s="286" t="s">
        <v>578</v>
      </c>
      <c r="B76" s="287" t="s">
        <v>2057</v>
      </c>
      <c r="C76" s="287" t="s">
        <v>2210</v>
      </c>
      <c r="D76" s="504" t="s">
        <v>2211</v>
      </c>
      <c r="E76" s="504"/>
      <c r="F76" s="287" t="s">
        <v>246</v>
      </c>
      <c r="G76" s="310">
        <v>617</v>
      </c>
      <c r="H76" s="310">
        <v>0</v>
      </c>
      <c r="I76" s="310">
        <f t="shared" si="104"/>
        <v>0</v>
      </c>
      <c r="J76" s="310">
        <f t="shared" si="105"/>
        <v>0</v>
      </c>
      <c r="K76" s="310">
        <f t="shared" si="106"/>
        <v>0</v>
      </c>
      <c r="L76" s="310">
        <v>0</v>
      </c>
      <c r="M76" s="310">
        <f t="shared" si="107"/>
        <v>0</v>
      </c>
      <c r="N76" s="334" t="s">
        <v>2095</v>
      </c>
      <c r="Z76" s="310">
        <f t="shared" si="108"/>
        <v>0</v>
      </c>
      <c r="AB76" s="310">
        <f t="shared" si="109"/>
        <v>0</v>
      </c>
      <c r="AC76" s="310">
        <f t="shared" si="110"/>
        <v>0</v>
      </c>
      <c r="AD76" s="310">
        <f t="shared" si="111"/>
        <v>0</v>
      </c>
      <c r="AE76" s="310">
        <f t="shared" si="112"/>
        <v>0</v>
      </c>
      <c r="AF76" s="310">
        <f t="shared" si="113"/>
        <v>0</v>
      </c>
      <c r="AG76" s="310">
        <f t="shared" si="114"/>
        <v>0</v>
      </c>
      <c r="AH76" s="310">
        <f t="shared" si="115"/>
        <v>0</v>
      </c>
      <c r="AI76" s="320" t="s">
        <v>2057</v>
      </c>
      <c r="AJ76" s="310">
        <f t="shared" si="116"/>
        <v>0</v>
      </c>
      <c r="AK76" s="310">
        <f t="shared" si="117"/>
        <v>0</v>
      </c>
      <c r="AL76" s="310">
        <f t="shared" si="118"/>
        <v>0</v>
      </c>
      <c r="AN76" s="310">
        <v>21</v>
      </c>
      <c r="AO76" s="310">
        <f>H76*0</f>
        <v>0</v>
      </c>
      <c r="AP76" s="310">
        <f>H76*(1-0)</f>
        <v>0</v>
      </c>
      <c r="AQ76" s="335" t="s">
        <v>86</v>
      </c>
      <c r="AV76" s="310">
        <f t="shared" si="119"/>
        <v>0</v>
      </c>
      <c r="AW76" s="310">
        <f t="shared" si="120"/>
        <v>0</v>
      </c>
      <c r="AX76" s="310">
        <f t="shared" si="121"/>
        <v>0</v>
      </c>
      <c r="AY76" s="335" t="s">
        <v>2123</v>
      </c>
      <c r="AZ76" s="335" t="s">
        <v>2197</v>
      </c>
      <c r="BA76" s="320" t="s">
        <v>2123</v>
      </c>
      <c r="BC76" s="310">
        <f t="shared" si="122"/>
        <v>0</v>
      </c>
      <c r="BD76" s="310">
        <f t="shared" si="123"/>
        <v>0</v>
      </c>
      <c r="BE76" s="310">
        <v>0</v>
      </c>
      <c r="BF76" s="310">
        <f t="shared" si="124"/>
        <v>0</v>
      </c>
      <c r="BH76" s="310">
        <f t="shared" si="125"/>
        <v>0</v>
      </c>
      <c r="BI76" s="310">
        <f t="shared" si="126"/>
        <v>0</v>
      </c>
      <c r="BJ76" s="310">
        <f t="shared" si="127"/>
        <v>0</v>
      </c>
      <c r="BK76" s="310"/>
      <c r="BL76" s="310"/>
    </row>
    <row r="77" spans="1:64" ht="15" customHeight="1">
      <c r="A77" s="289" t="s">
        <v>582</v>
      </c>
      <c r="B77" s="290" t="s">
        <v>2057</v>
      </c>
      <c r="C77" s="290" t="s">
        <v>2212</v>
      </c>
      <c r="D77" s="517" t="s">
        <v>2213</v>
      </c>
      <c r="E77" s="517"/>
      <c r="F77" s="290" t="s">
        <v>324</v>
      </c>
      <c r="G77" s="312">
        <v>26.25</v>
      </c>
      <c r="H77" s="310">
        <v>0</v>
      </c>
      <c r="I77" s="312">
        <f t="shared" si="104"/>
        <v>0</v>
      </c>
      <c r="J77" s="312">
        <f t="shared" si="105"/>
        <v>0</v>
      </c>
      <c r="K77" s="312">
        <f t="shared" si="106"/>
        <v>0</v>
      </c>
      <c r="L77" s="312">
        <v>0</v>
      </c>
      <c r="M77" s="312">
        <f t="shared" si="107"/>
        <v>0</v>
      </c>
      <c r="N77" s="336" t="s">
        <v>2193</v>
      </c>
      <c r="Z77" s="310">
        <f t="shared" si="108"/>
        <v>0</v>
      </c>
      <c r="AB77" s="310">
        <f t="shared" si="109"/>
        <v>0</v>
      </c>
      <c r="AC77" s="310">
        <f t="shared" si="110"/>
        <v>0</v>
      </c>
      <c r="AD77" s="310">
        <f t="shared" si="111"/>
        <v>0</v>
      </c>
      <c r="AE77" s="310">
        <f t="shared" si="112"/>
        <v>0</v>
      </c>
      <c r="AF77" s="310">
        <f t="shared" si="113"/>
        <v>0</v>
      </c>
      <c r="AG77" s="310">
        <f t="shared" si="114"/>
        <v>0</v>
      </c>
      <c r="AH77" s="310">
        <f t="shared" si="115"/>
        <v>0</v>
      </c>
      <c r="AI77" s="320" t="s">
        <v>2057</v>
      </c>
      <c r="AJ77" s="310">
        <f t="shared" si="116"/>
        <v>0</v>
      </c>
      <c r="AK77" s="310">
        <f t="shared" si="117"/>
        <v>0</v>
      </c>
      <c r="AL77" s="310">
        <f t="shared" si="118"/>
        <v>0</v>
      </c>
      <c r="AN77" s="310">
        <v>21</v>
      </c>
      <c r="AO77" s="310">
        <f>H77*0</f>
        <v>0</v>
      </c>
      <c r="AP77" s="310">
        <f>H77*(1-0)</f>
        <v>0</v>
      </c>
      <c r="AQ77" s="335" t="s">
        <v>86</v>
      </c>
      <c r="AV77" s="310">
        <f t="shared" si="119"/>
        <v>0</v>
      </c>
      <c r="AW77" s="310">
        <f t="shared" si="120"/>
        <v>0</v>
      </c>
      <c r="AX77" s="310">
        <f t="shared" si="121"/>
        <v>0</v>
      </c>
      <c r="AY77" s="335" t="s">
        <v>2123</v>
      </c>
      <c r="AZ77" s="335" t="s">
        <v>2197</v>
      </c>
      <c r="BA77" s="320" t="s">
        <v>2123</v>
      </c>
      <c r="BC77" s="310">
        <f t="shared" si="122"/>
        <v>0</v>
      </c>
      <c r="BD77" s="310">
        <f t="shared" si="123"/>
        <v>0</v>
      </c>
      <c r="BE77" s="310">
        <v>0</v>
      </c>
      <c r="BF77" s="310">
        <f t="shared" si="124"/>
        <v>0</v>
      </c>
      <c r="BH77" s="310">
        <f t="shared" si="125"/>
        <v>0</v>
      </c>
      <c r="BI77" s="310">
        <f t="shared" si="126"/>
        <v>0</v>
      </c>
      <c r="BJ77" s="310">
        <f t="shared" si="127"/>
        <v>0</v>
      </c>
      <c r="BK77" s="310"/>
      <c r="BL77" s="310"/>
    </row>
    <row r="78" spans="9:11" ht="15" customHeight="1">
      <c r="I78" s="507" t="s">
        <v>2063</v>
      </c>
      <c r="J78" s="507"/>
      <c r="K78" s="314">
        <f>K13+K20+K28+K31+K36+K52+K68</f>
        <v>0</v>
      </c>
    </row>
    <row r="79" ht="15" customHeight="1">
      <c r="A79" s="304" t="s">
        <v>40</v>
      </c>
    </row>
    <row r="80" spans="1:14" ht="12.75" customHeight="1">
      <c r="A80" s="512" t="s">
        <v>19</v>
      </c>
      <c r="B80" s="504"/>
      <c r="C80" s="504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</row>
  </sheetData>
  <mergeCells count="97">
    <mergeCell ref="A80:N80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I78:J78"/>
    <mergeCell ref="D67:E67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19:E19"/>
    <mergeCell ref="D10:E10"/>
    <mergeCell ref="I10:K10"/>
    <mergeCell ref="L10:M10"/>
    <mergeCell ref="D11:E11"/>
    <mergeCell ref="D12:E12"/>
    <mergeCell ref="D13:E13"/>
    <mergeCell ref="D14:E14"/>
    <mergeCell ref="D15:E15"/>
    <mergeCell ref="D16:E16"/>
    <mergeCell ref="D17:E17"/>
    <mergeCell ref="D18:E18"/>
    <mergeCell ref="J8:N9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4:N5"/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96"/>
  <sheetViews>
    <sheetView showGridLines="0" showZeros="0" zoomScale="120" zoomScaleNormal="120" workbookViewId="0" topLeftCell="A1">
      <selection activeCell="F16" sqref="F16"/>
    </sheetView>
  </sheetViews>
  <sheetFormatPr defaultColWidth="9.140625" defaultRowHeight="12"/>
  <cols>
    <col min="1" max="1" width="5.7109375" style="337" customWidth="1"/>
    <col min="2" max="2" width="14.8515625" style="337" customWidth="1"/>
    <col min="3" max="3" width="60.7109375" style="337" customWidth="1"/>
    <col min="4" max="4" width="8.28125" style="337" customWidth="1"/>
    <col min="5" max="5" width="10.57421875" style="372" customWidth="1"/>
    <col min="6" max="6" width="14.57421875" style="337" customWidth="1"/>
    <col min="7" max="7" width="15.421875" style="337" customWidth="1"/>
    <col min="8" max="8" width="8.8515625" style="337" customWidth="1"/>
    <col min="9" max="11" width="11.7109375" style="337" customWidth="1"/>
    <col min="12" max="12" width="7.57421875" style="337" customWidth="1"/>
    <col min="13" max="13" width="58.28125" style="337" customWidth="1"/>
    <col min="14" max="256" width="9.140625" style="337" customWidth="1"/>
    <col min="257" max="257" width="5.7109375" style="337" customWidth="1"/>
    <col min="258" max="258" width="14.8515625" style="337" customWidth="1"/>
    <col min="259" max="259" width="60.7109375" style="337" customWidth="1"/>
    <col min="260" max="260" width="8.28125" style="337" customWidth="1"/>
    <col min="261" max="261" width="10.57421875" style="337" customWidth="1"/>
    <col min="262" max="262" width="14.57421875" style="337" customWidth="1"/>
    <col min="263" max="263" width="15.421875" style="337" customWidth="1"/>
    <col min="264" max="264" width="8.8515625" style="337" customWidth="1"/>
    <col min="265" max="267" width="11.7109375" style="337" customWidth="1"/>
    <col min="268" max="268" width="7.57421875" style="337" customWidth="1"/>
    <col min="269" max="269" width="58.28125" style="337" customWidth="1"/>
    <col min="270" max="512" width="9.140625" style="337" customWidth="1"/>
    <col min="513" max="513" width="5.7109375" style="337" customWidth="1"/>
    <col min="514" max="514" width="14.8515625" style="337" customWidth="1"/>
    <col min="515" max="515" width="60.7109375" style="337" customWidth="1"/>
    <col min="516" max="516" width="8.28125" style="337" customWidth="1"/>
    <col min="517" max="517" width="10.57421875" style="337" customWidth="1"/>
    <col min="518" max="518" width="14.57421875" style="337" customWidth="1"/>
    <col min="519" max="519" width="15.421875" style="337" customWidth="1"/>
    <col min="520" max="520" width="8.8515625" style="337" customWidth="1"/>
    <col min="521" max="523" width="11.7109375" style="337" customWidth="1"/>
    <col min="524" max="524" width="7.57421875" style="337" customWidth="1"/>
    <col min="525" max="525" width="58.28125" style="337" customWidth="1"/>
    <col min="526" max="768" width="9.140625" style="337" customWidth="1"/>
    <col min="769" max="769" width="5.7109375" style="337" customWidth="1"/>
    <col min="770" max="770" width="14.8515625" style="337" customWidth="1"/>
    <col min="771" max="771" width="60.7109375" style="337" customWidth="1"/>
    <col min="772" max="772" width="8.28125" style="337" customWidth="1"/>
    <col min="773" max="773" width="10.57421875" style="337" customWidth="1"/>
    <col min="774" max="774" width="14.57421875" style="337" customWidth="1"/>
    <col min="775" max="775" width="15.421875" style="337" customWidth="1"/>
    <col min="776" max="776" width="8.8515625" style="337" customWidth="1"/>
    <col min="777" max="779" width="11.7109375" style="337" customWidth="1"/>
    <col min="780" max="780" width="7.57421875" style="337" customWidth="1"/>
    <col min="781" max="781" width="58.28125" style="337" customWidth="1"/>
    <col min="782" max="1024" width="9.140625" style="337" customWidth="1"/>
    <col min="1025" max="1025" width="5.7109375" style="337" customWidth="1"/>
    <col min="1026" max="1026" width="14.8515625" style="337" customWidth="1"/>
    <col min="1027" max="1027" width="60.7109375" style="337" customWidth="1"/>
    <col min="1028" max="1028" width="8.28125" style="337" customWidth="1"/>
    <col min="1029" max="1029" width="10.57421875" style="337" customWidth="1"/>
    <col min="1030" max="1030" width="14.57421875" style="337" customWidth="1"/>
    <col min="1031" max="1031" width="15.421875" style="337" customWidth="1"/>
    <col min="1032" max="1032" width="8.8515625" style="337" customWidth="1"/>
    <col min="1033" max="1035" width="11.7109375" style="337" customWidth="1"/>
    <col min="1036" max="1036" width="7.57421875" style="337" customWidth="1"/>
    <col min="1037" max="1037" width="58.28125" style="337" customWidth="1"/>
    <col min="1038" max="1280" width="9.140625" style="337" customWidth="1"/>
    <col min="1281" max="1281" width="5.7109375" style="337" customWidth="1"/>
    <col min="1282" max="1282" width="14.8515625" style="337" customWidth="1"/>
    <col min="1283" max="1283" width="60.7109375" style="337" customWidth="1"/>
    <col min="1284" max="1284" width="8.28125" style="337" customWidth="1"/>
    <col min="1285" max="1285" width="10.57421875" style="337" customWidth="1"/>
    <col min="1286" max="1286" width="14.57421875" style="337" customWidth="1"/>
    <col min="1287" max="1287" width="15.421875" style="337" customWidth="1"/>
    <col min="1288" max="1288" width="8.8515625" style="337" customWidth="1"/>
    <col min="1289" max="1291" width="11.7109375" style="337" customWidth="1"/>
    <col min="1292" max="1292" width="7.57421875" style="337" customWidth="1"/>
    <col min="1293" max="1293" width="58.28125" style="337" customWidth="1"/>
    <col min="1294" max="1536" width="9.140625" style="337" customWidth="1"/>
    <col min="1537" max="1537" width="5.7109375" style="337" customWidth="1"/>
    <col min="1538" max="1538" width="14.8515625" style="337" customWidth="1"/>
    <col min="1539" max="1539" width="60.7109375" style="337" customWidth="1"/>
    <col min="1540" max="1540" width="8.28125" style="337" customWidth="1"/>
    <col min="1541" max="1541" width="10.57421875" style="337" customWidth="1"/>
    <col min="1542" max="1542" width="14.57421875" style="337" customWidth="1"/>
    <col min="1543" max="1543" width="15.421875" style="337" customWidth="1"/>
    <col min="1544" max="1544" width="8.8515625" style="337" customWidth="1"/>
    <col min="1545" max="1547" width="11.7109375" style="337" customWidth="1"/>
    <col min="1548" max="1548" width="7.57421875" style="337" customWidth="1"/>
    <col min="1549" max="1549" width="58.28125" style="337" customWidth="1"/>
    <col min="1550" max="1792" width="9.140625" style="337" customWidth="1"/>
    <col min="1793" max="1793" width="5.7109375" style="337" customWidth="1"/>
    <col min="1794" max="1794" width="14.8515625" style="337" customWidth="1"/>
    <col min="1795" max="1795" width="60.7109375" style="337" customWidth="1"/>
    <col min="1796" max="1796" width="8.28125" style="337" customWidth="1"/>
    <col min="1797" max="1797" width="10.57421875" style="337" customWidth="1"/>
    <col min="1798" max="1798" width="14.57421875" style="337" customWidth="1"/>
    <col min="1799" max="1799" width="15.421875" style="337" customWidth="1"/>
    <col min="1800" max="1800" width="8.8515625" style="337" customWidth="1"/>
    <col min="1801" max="1803" width="11.7109375" style="337" customWidth="1"/>
    <col min="1804" max="1804" width="7.57421875" style="337" customWidth="1"/>
    <col min="1805" max="1805" width="58.28125" style="337" customWidth="1"/>
    <col min="1806" max="2048" width="9.140625" style="337" customWidth="1"/>
    <col min="2049" max="2049" width="5.7109375" style="337" customWidth="1"/>
    <col min="2050" max="2050" width="14.8515625" style="337" customWidth="1"/>
    <col min="2051" max="2051" width="60.7109375" style="337" customWidth="1"/>
    <col min="2052" max="2052" width="8.28125" style="337" customWidth="1"/>
    <col min="2053" max="2053" width="10.57421875" style="337" customWidth="1"/>
    <col min="2054" max="2054" width="14.57421875" style="337" customWidth="1"/>
    <col min="2055" max="2055" width="15.421875" style="337" customWidth="1"/>
    <col min="2056" max="2056" width="8.8515625" style="337" customWidth="1"/>
    <col min="2057" max="2059" width="11.7109375" style="337" customWidth="1"/>
    <col min="2060" max="2060" width="7.57421875" style="337" customWidth="1"/>
    <col min="2061" max="2061" width="58.28125" style="337" customWidth="1"/>
    <col min="2062" max="2304" width="9.140625" style="337" customWidth="1"/>
    <col min="2305" max="2305" width="5.7109375" style="337" customWidth="1"/>
    <col min="2306" max="2306" width="14.8515625" style="337" customWidth="1"/>
    <col min="2307" max="2307" width="60.7109375" style="337" customWidth="1"/>
    <col min="2308" max="2308" width="8.28125" style="337" customWidth="1"/>
    <col min="2309" max="2309" width="10.57421875" style="337" customWidth="1"/>
    <col min="2310" max="2310" width="14.57421875" style="337" customWidth="1"/>
    <col min="2311" max="2311" width="15.421875" style="337" customWidth="1"/>
    <col min="2312" max="2312" width="8.8515625" style="337" customWidth="1"/>
    <col min="2313" max="2315" width="11.7109375" style="337" customWidth="1"/>
    <col min="2316" max="2316" width="7.57421875" style="337" customWidth="1"/>
    <col min="2317" max="2317" width="58.28125" style="337" customWidth="1"/>
    <col min="2318" max="2560" width="9.140625" style="337" customWidth="1"/>
    <col min="2561" max="2561" width="5.7109375" style="337" customWidth="1"/>
    <col min="2562" max="2562" width="14.8515625" style="337" customWidth="1"/>
    <col min="2563" max="2563" width="60.7109375" style="337" customWidth="1"/>
    <col min="2564" max="2564" width="8.28125" style="337" customWidth="1"/>
    <col min="2565" max="2565" width="10.57421875" style="337" customWidth="1"/>
    <col min="2566" max="2566" width="14.57421875" style="337" customWidth="1"/>
    <col min="2567" max="2567" width="15.421875" style="337" customWidth="1"/>
    <col min="2568" max="2568" width="8.8515625" style="337" customWidth="1"/>
    <col min="2569" max="2571" width="11.7109375" style="337" customWidth="1"/>
    <col min="2572" max="2572" width="7.57421875" style="337" customWidth="1"/>
    <col min="2573" max="2573" width="58.28125" style="337" customWidth="1"/>
    <col min="2574" max="2816" width="9.140625" style="337" customWidth="1"/>
    <col min="2817" max="2817" width="5.7109375" style="337" customWidth="1"/>
    <col min="2818" max="2818" width="14.8515625" style="337" customWidth="1"/>
    <col min="2819" max="2819" width="60.7109375" style="337" customWidth="1"/>
    <col min="2820" max="2820" width="8.28125" style="337" customWidth="1"/>
    <col min="2821" max="2821" width="10.57421875" style="337" customWidth="1"/>
    <col min="2822" max="2822" width="14.57421875" style="337" customWidth="1"/>
    <col min="2823" max="2823" width="15.421875" style="337" customWidth="1"/>
    <col min="2824" max="2824" width="8.8515625" style="337" customWidth="1"/>
    <col min="2825" max="2827" width="11.7109375" style="337" customWidth="1"/>
    <col min="2828" max="2828" width="7.57421875" style="337" customWidth="1"/>
    <col min="2829" max="2829" width="58.28125" style="337" customWidth="1"/>
    <col min="2830" max="3072" width="9.140625" style="337" customWidth="1"/>
    <col min="3073" max="3073" width="5.7109375" style="337" customWidth="1"/>
    <col min="3074" max="3074" width="14.8515625" style="337" customWidth="1"/>
    <col min="3075" max="3075" width="60.7109375" style="337" customWidth="1"/>
    <col min="3076" max="3076" width="8.28125" style="337" customWidth="1"/>
    <col min="3077" max="3077" width="10.57421875" style="337" customWidth="1"/>
    <col min="3078" max="3078" width="14.57421875" style="337" customWidth="1"/>
    <col min="3079" max="3079" width="15.421875" style="337" customWidth="1"/>
    <col min="3080" max="3080" width="8.8515625" style="337" customWidth="1"/>
    <col min="3081" max="3083" width="11.7109375" style="337" customWidth="1"/>
    <col min="3084" max="3084" width="7.57421875" style="337" customWidth="1"/>
    <col min="3085" max="3085" width="58.28125" style="337" customWidth="1"/>
    <col min="3086" max="3328" width="9.140625" style="337" customWidth="1"/>
    <col min="3329" max="3329" width="5.7109375" style="337" customWidth="1"/>
    <col min="3330" max="3330" width="14.8515625" style="337" customWidth="1"/>
    <col min="3331" max="3331" width="60.7109375" style="337" customWidth="1"/>
    <col min="3332" max="3332" width="8.28125" style="337" customWidth="1"/>
    <col min="3333" max="3333" width="10.57421875" style="337" customWidth="1"/>
    <col min="3334" max="3334" width="14.57421875" style="337" customWidth="1"/>
    <col min="3335" max="3335" width="15.421875" style="337" customWidth="1"/>
    <col min="3336" max="3336" width="8.8515625" style="337" customWidth="1"/>
    <col min="3337" max="3339" width="11.7109375" style="337" customWidth="1"/>
    <col min="3340" max="3340" width="7.57421875" style="337" customWidth="1"/>
    <col min="3341" max="3341" width="58.28125" style="337" customWidth="1"/>
    <col min="3342" max="3584" width="9.140625" style="337" customWidth="1"/>
    <col min="3585" max="3585" width="5.7109375" style="337" customWidth="1"/>
    <col min="3586" max="3586" width="14.8515625" style="337" customWidth="1"/>
    <col min="3587" max="3587" width="60.7109375" style="337" customWidth="1"/>
    <col min="3588" max="3588" width="8.28125" style="337" customWidth="1"/>
    <col min="3589" max="3589" width="10.57421875" style="337" customWidth="1"/>
    <col min="3590" max="3590" width="14.57421875" style="337" customWidth="1"/>
    <col min="3591" max="3591" width="15.421875" style="337" customWidth="1"/>
    <col min="3592" max="3592" width="8.8515625" style="337" customWidth="1"/>
    <col min="3593" max="3595" width="11.7109375" style="337" customWidth="1"/>
    <col min="3596" max="3596" width="7.57421875" style="337" customWidth="1"/>
    <col min="3597" max="3597" width="58.28125" style="337" customWidth="1"/>
    <col min="3598" max="3840" width="9.140625" style="337" customWidth="1"/>
    <col min="3841" max="3841" width="5.7109375" style="337" customWidth="1"/>
    <col min="3842" max="3842" width="14.8515625" style="337" customWidth="1"/>
    <col min="3843" max="3843" width="60.7109375" style="337" customWidth="1"/>
    <col min="3844" max="3844" width="8.28125" style="337" customWidth="1"/>
    <col min="3845" max="3845" width="10.57421875" style="337" customWidth="1"/>
    <col min="3846" max="3846" width="14.57421875" style="337" customWidth="1"/>
    <col min="3847" max="3847" width="15.421875" style="337" customWidth="1"/>
    <col min="3848" max="3848" width="8.8515625" style="337" customWidth="1"/>
    <col min="3849" max="3851" width="11.7109375" style="337" customWidth="1"/>
    <col min="3852" max="3852" width="7.57421875" style="337" customWidth="1"/>
    <col min="3853" max="3853" width="58.28125" style="337" customWidth="1"/>
    <col min="3854" max="4096" width="9.140625" style="337" customWidth="1"/>
    <col min="4097" max="4097" width="5.7109375" style="337" customWidth="1"/>
    <col min="4098" max="4098" width="14.8515625" style="337" customWidth="1"/>
    <col min="4099" max="4099" width="60.7109375" style="337" customWidth="1"/>
    <col min="4100" max="4100" width="8.28125" style="337" customWidth="1"/>
    <col min="4101" max="4101" width="10.57421875" style="337" customWidth="1"/>
    <col min="4102" max="4102" width="14.57421875" style="337" customWidth="1"/>
    <col min="4103" max="4103" width="15.421875" style="337" customWidth="1"/>
    <col min="4104" max="4104" width="8.8515625" style="337" customWidth="1"/>
    <col min="4105" max="4107" width="11.7109375" style="337" customWidth="1"/>
    <col min="4108" max="4108" width="7.57421875" style="337" customWidth="1"/>
    <col min="4109" max="4109" width="58.28125" style="337" customWidth="1"/>
    <col min="4110" max="4352" width="9.140625" style="337" customWidth="1"/>
    <col min="4353" max="4353" width="5.7109375" style="337" customWidth="1"/>
    <col min="4354" max="4354" width="14.8515625" style="337" customWidth="1"/>
    <col min="4355" max="4355" width="60.7109375" style="337" customWidth="1"/>
    <col min="4356" max="4356" width="8.28125" style="337" customWidth="1"/>
    <col min="4357" max="4357" width="10.57421875" style="337" customWidth="1"/>
    <col min="4358" max="4358" width="14.57421875" style="337" customWidth="1"/>
    <col min="4359" max="4359" width="15.421875" style="337" customWidth="1"/>
    <col min="4360" max="4360" width="8.8515625" style="337" customWidth="1"/>
    <col min="4361" max="4363" width="11.7109375" style="337" customWidth="1"/>
    <col min="4364" max="4364" width="7.57421875" style="337" customWidth="1"/>
    <col min="4365" max="4365" width="58.28125" style="337" customWidth="1"/>
    <col min="4366" max="4608" width="9.140625" style="337" customWidth="1"/>
    <col min="4609" max="4609" width="5.7109375" style="337" customWidth="1"/>
    <col min="4610" max="4610" width="14.8515625" style="337" customWidth="1"/>
    <col min="4611" max="4611" width="60.7109375" style="337" customWidth="1"/>
    <col min="4612" max="4612" width="8.28125" style="337" customWidth="1"/>
    <col min="4613" max="4613" width="10.57421875" style="337" customWidth="1"/>
    <col min="4614" max="4614" width="14.57421875" style="337" customWidth="1"/>
    <col min="4615" max="4615" width="15.421875" style="337" customWidth="1"/>
    <col min="4616" max="4616" width="8.8515625" style="337" customWidth="1"/>
    <col min="4617" max="4619" width="11.7109375" style="337" customWidth="1"/>
    <col min="4620" max="4620" width="7.57421875" style="337" customWidth="1"/>
    <col min="4621" max="4621" width="58.28125" style="337" customWidth="1"/>
    <col min="4622" max="4864" width="9.140625" style="337" customWidth="1"/>
    <col min="4865" max="4865" width="5.7109375" style="337" customWidth="1"/>
    <col min="4866" max="4866" width="14.8515625" style="337" customWidth="1"/>
    <col min="4867" max="4867" width="60.7109375" style="337" customWidth="1"/>
    <col min="4868" max="4868" width="8.28125" style="337" customWidth="1"/>
    <col min="4869" max="4869" width="10.57421875" style="337" customWidth="1"/>
    <col min="4870" max="4870" width="14.57421875" style="337" customWidth="1"/>
    <col min="4871" max="4871" width="15.421875" style="337" customWidth="1"/>
    <col min="4872" max="4872" width="8.8515625" style="337" customWidth="1"/>
    <col min="4873" max="4875" width="11.7109375" style="337" customWidth="1"/>
    <col min="4876" max="4876" width="7.57421875" style="337" customWidth="1"/>
    <col min="4877" max="4877" width="58.28125" style="337" customWidth="1"/>
    <col min="4878" max="5120" width="9.140625" style="337" customWidth="1"/>
    <col min="5121" max="5121" width="5.7109375" style="337" customWidth="1"/>
    <col min="5122" max="5122" width="14.8515625" style="337" customWidth="1"/>
    <col min="5123" max="5123" width="60.7109375" style="337" customWidth="1"/>
    <col min="5124" max="5124" width="8.28125" style="337" customWidth="1"/>
    <col min="5125" max="5125" width="10.57421875" style="337" customWidth="1"/>
    <col min="5126" max="5126" width="14.57421875" style="337" customWidth="1"/>
    <col min="5127" max="5127" width="15.421875" style="337" customWidth="1"/>
    <col min="5128" max="5128" width="8.8515625" style="337" customWidth="1"/>
    <col min="5129" max="5131" width="11.7109375" style="337" customWidth="1"/>
    <col min="5132" max="5132" width="7.57421875" style="337" customWidth="1"/>
    <col min="5133" max="5133" width="58.28125" style="337" customWidth="1"/>
    <col min="5134" max="5376" width="9.140625" style="337" customWidth="1"/>
    <col min="5377" max="5377" width="5.7109375" style="337" customWidth="1"/>
    <col min="5378" max="5378" width="14.8515625" style="337" customWidth="1"/>
    <col min="5379" max="5379" width="60.7109375" style="337" customWidth="1"/>
    <col min="5380" max="5380" width="8.28125" style="337" customWidth="1"/>
    <col min="5381" max="5381" width="10.57421875" style="337" customWidth="1"/>
    <col min="5382" max="5382" width="14.57421875" style="337" customWidth="1"/>
    <col min="5383" max="5383" width="15.421875" style="337" customWidth="1"/>
    <col min="5384" max="5384" width="8.8515625" style="337" customWidth="1"/>
    <col min="5385" max="5387" width="11.7109375" style="337" customWidth="1"/>
    <col min="5388" max="5388" width="7.57421875" style="337" customWidth="1"/>
    <col min="5389" max="5389" width="58.28125" style="337" customWidth="1"/>
    <col min="5390" max="5632" width="9.140625" style="337" customWidth="1"/>
    <col min="5633" max="5633" width="5.7109375" style="337" customWidth="1"/>
    <col min="5634" max="5634" width="14.8515625" style="337" customWidth="1"/>
    <col min="5635" max="5635" width="60.7109375" style="337" customWidth="1"/>
    <col min="5636" max="5636" width="8.28125" style="337" customWidth="1"/>
    <col min="5637" max="5637" width="10.57421875" style="337" customWidth="1"/>
    <col min="5638" max="5638" width="14.57421875" style="337" customWidth="1"/>
    <col min="5639" max="5639" width="15.421875" style="337" customWidth="1"/>
    <col min="5640" max="5640" width="8.8515625" style="337" customWidth="1"/>
    <col min="5641" max="5643" width="11.7109375" style="337" customWidth="1"/>
    <col min="5644" max="5644" width="7.57421875" style="337" customWidth="1"/>
    <col min="5645" max="5645" width="58.28125" style="337" customWidth="1"/>
    <col min="5646" max="5888" width="9.140625" style="337" customWidth="1"/>
    <col min="5889" max="5889" width="5.7109375" style="337" customWidth="1"/>
    <col min="5890" max="5890" width="14.8515625" style="337" customWidth="1"/>
    <col min="5891" max="5891" width="60.7109375" style="337" customWidth="1"/>
    <col min="5892" max="5892" width="8.28125" style="337" customWidth="1"/>
    <col min="5893" max="5893" width="10.57421875" style="337" customWidth="1"/>
    <col min="5894" max="5894" width="14.57421875" style="337" customWidth="1"/>
    <col min="5895" max="5895" width="15.421875" style="337" customWidth="1"/>
    <col min="5896" max="5896" width="8.8515625" style="337" customWidth="1"/>
    <col min="5897" max="5899" width="11.7109375" style="337" customWidth="1"/>
    <col min="5900" max="5900" width="7.57421875" style="337" customWidth="1"/>
    <col min="5901" max="5901" width="58.28125" style="337" customWidth="1"/>
    <col min="5902" max="6144" width="9.140625" style="337" customWidth="1"/>
    <col min="6145" max="6145" width="5.7109375" style="337" customWidth="1"/>
    <col min="6146" max="6146" width="14.8515625" style="337" customWidth="1"/>
    <col min="6147" max="6147" width="60.7109375" style="337" customWidth="1"/>
    <col min="6148" max="6148" width="8.28125" style="337" customWidth="1"/>
    <col min="6149" max="6149" width="10.57421875" style="337" customWidth="1"/>
    <col min="6150" max="6150" width="14.57421875" style="337" customWidth="1"/>
    <col min="6151" max="6151" width="15.421875" style="337" customWidth="1"/>
    <col min="6152" max="6152" width="8.8515625" style="337" customWidth="1"/>
    <col min="6153" max="6155" width="11.7109375" style="337" customWidth="1"/>
    <col min="6156" max="6156" width="7.57421875" style="337" customWidth="1"/>
    <col min="6157" max="6157" width="58.28125" style="337" customWidth="1"/>
    <col min="6158" max="6400" width="9.140625" style="337" customWidth="1"/>
    <col min="6401" max="6401" width="5.7109375" style="337" customWidth="1"/>
    <col min="6402" max="6402" width="14.8515625" style="337" customWidth="1"/>
    <col min="6403" max="6403" width="60.7109375" style="337" customWidth="1"/>
    <col min="6404" max="6404" width="8.28125" style="337" customWidth="1"/>
    <col min="6405" max="6405" width="10.57421875" style="337" customWidth="1"/>
    <col min="6406" max="6406" width="14.57421875" style="337" customWidth="1"/>
    <col min="6407" max="6407" width="15.421875" style="337" customWidth="1"/>
    <col min="6408" max="6408" width="8.8515625" style="337" customWidth="1"/>
    <col min="6409" max="6411" width="11.7109375" style="337" customWidth="1"/>
    <col min="6412" max="6412" width="7.57421875" style="337" customWidth="1"/>
    <col min="6413" max="6413" width="58.28125" style="337" customWidth="1"/>
    <col min="6414" max="6656" width="9.140625" style="337" customWidth="1"/>
    <col min="6657" max="6657" width="5.7109375" style="337" customWidth="1"/>
    <col min="6658" max="6658" width="14.8515625" style="337" customWidth="1"/>
    <col min="6659" max="6659" width="60.7109375" style="337" customWidth="1"/>
    <col min="6660" max="6660" width="8.28125" style="337" customWidth="1"/>
    <col min="6661" max="6661" width="10.57421875" style="337" customWidth="1"/>
    <col min="6662" max="6662" width="14.57421875" style="337" customWidth="1"/>
    <col min="6663" max="6663" width="15.421875" style="337" customWidth="1"/>
    <col min="6664" max="6664" width="8.8515625" style="337" customWidth="1"/>
    <col min="6665" max="6667" width="11.7109375" style="337" customWidth="1"/>
    <col min="6668" max="6668" width="7.57421875" style="337" customWidth="1"/>
    <col min="6669" max="6669" width="58.28125" style="337" customWidth="1"/>
    <col min="6670" max="6912" width="9.140625" style="337" customWidth="1"/>
    <col min="6913" max="6913" width="5.7109375" style="337" customWidth="1"/>
    <col min="6914" max="6914" width="14.8515625" style="337" customWidth="1"/>
    <col min="6915" max="6915" width="60.7109375" style="337" customWidth="1"/>
    <col min="6916" max="6916" width="8.28125" style="337" customWidth="1"/>
    <col min="6917" max="6917" width="10.57421875" style="337" customWidth="1"/>
    <col min="6918" max="6918" width="14.57421875" style="337" customWidth="1"/>
    <col min="6919" max="6919" width="15.421875" style="337" customWidth="1"/>
    <col min="6920" max="6920" width="8.8515625" style="337" customWidth="1"/>
    <col min="6921" max="6923" width="11.7109375" style="337" customWidth="1"/>
    <col min="6924" max="6924" width="7.57421875" style="337" customWidth="1"/>
    <col min="6925" max="6925" width="58.28125" style="337" customWidth="1"/>
    <col min="6926" max="7168" width="9.140625" style="337" customWidth="1"/>
    <col min="7169" max="7169" width="5.7109375" style="337" customWidth="1"/>
    <col min="7170" max="7170" width="14.8515625" style="337" customWidth="1"/>
    <col min="7171" max="7171" width="60.7109375" style="337" customWidth="1"/>
    <col min="7172" max="7172" width="8.28125" style="337" customWidth="1"/>
    <col min="7173" max="7173" width="10.57421875" style="337" customWidth="1"/>
    <col min="7174" max="7174" width="14.57421875" style="337" customWidth="1"/>
    <col min="7175" max="7175" width="15.421875" style="337" customWidth="1"/>
    <col min="7176" max="7176" width="8.8515625" style="337" customWidth="1"/>
    <col min="7177" max="7179" width="11.7109375" style="337" customWidth="1"/>
    <col min="7180" max="7180" width="7.57421875" style="337" customWidth="1"/>
    <col min="7181" max="7181" width="58.28125" style="337" customWidth="1"/>
    <col min="7182" max="7424" width="9.140625" style="337" customWidth="1"/>
    <col min="7425" max="7425" width="5.7109375" style="337" customWidth="1"/>
    <col min="7426" max="7426" width="14.8515625" style="337" customWidth="1"/>
    <col min="7427" max="7427" width="60.7109375" style="337" customWidth="1"/>
    <col min="7428" max="7428" width="8.28125" style="337" customWidth="1"/>
    <col min="7429" max="7429" width="10.57421875" style="337" customWidth="1"/>
    <col min="7430" max="7430" width="14.57421875" style="337" customWidth="1"/>
    <col min="7431" max="7431" width="15.421875" style="337" customWidth="1"/>
    <col min="7432" max="7432" width="8.8515625" style="337" customWidth="1"/>
    <col min="7433" max="7435" width="11.7109375" style="337" customWidth="1"/>
    <col min="7436" max="7436" width="7.57421875" style="337" customWidth="1"/>
    <col min="7437" max="7437" width="58.28125" style="337" customWidth="1"/>
    <col min="7438" max="7680" width="9.140625" style="337" customWidth="1"/>
    <col min="7681" max="7681" width="5.7109375" style="337" customWidth="1"/>
    <col min="7682" max="7682" width="14.8515625" style="337" customWidth="1"/>
    <col min="7683" max="7683" width="60.7109375" style="337" customWidth="1"/>
    <col min="7684" max="7684" width="8.28125" style="337" customWidth="1"/>
    <col min="7685" max="7685" width="10.57421875" style="337" customWidth="1"/>
    <col min="7686" max="7686" width="14.57421875" style="337" customWidth="1"/>
    <col min="7687" max="7687" width="15.421875" style="337" customWidth="1"/>
    <col min="7688" max="7688" width="8.8515625" style="337" customWidth="1"/>
    <col min="7689" max="7691" width="11.7109375" style="337" customWidth="1"/>
    <col min="7692" max="7692" width="7.57421875" style="337" customWidth="1"/>
    <col min="7693" max="7693" width="58.28125" style="337" customWidth="1"/>
    <col min="7694" max="7936" width="9.140625" style="337" customWidth="1"/>
    <col min="7937" max="7937" width="5.7109375" style="337" customWidth="1"/>
    <col min="7938" max="7938" width="14.8515625" style="337" customWidth="1"/>
    <col min="7939" max="7939" width="60.7109375" style="337" customWidth="1"/>
    <col min="7940" max="7940" width="8.28125" style="337" customWidth="1"/>
    <col min="7941" max="7941" width="10.57421875" style="337" customWidth="1"/>
    <col min="7942" max="7942" width="14.57421875" style="337" customWidth="1"/>
    <col min="7943" max="7943" width="15.421875" style="337" customWidth="1"/>
    <col min="7944" max="7944" width="8.8515625" style="337" customWidth="1"/>
    <col min="7945" max="7947" width="11.7109375" style="337" customWidth="1"/>
    <col min="7948" max="7948" width="7.57421875" style="337" customWidth="1"/>
    <col min="7949" max="7949" width="58.28125" style="337" customWidth="1"/>
    <col min="7950" max="8192" width="9.140625" style="337" customWidth="1"/>
    <col min="8193" max="8193" width="5.7109375" style="337" customWidth="1"/>
    <col min="8194" max="8194" width="14.8515625" style="337" customWidth="1"/>
    <col min="8195" max="8195" width="60.7109375" style="337" customWidth="1"/>
    <col min="8196" max="8196" width="8.28125" style="337" customWidth="1"/>
    <col min="8197" max="8197" width="10.57421875" style="337" customWidth="1"/>
    <col min="8198" max="8198" width="14.57421875" style="337" customWidth="1"/>
    <col min="8199" max="8199" width="15.421875" style="337" customWidth="1"/>
    <col min="8200" max="8200" width="8.8515625" style="337" customWidth="1"/>
    <col min="8201" max="8203" width="11.7109375" style="337" customWidth="1"/>
    <col min="8204" max="8204" width="7.57421875" style="337" customWidth="1"/>
    <col min="8205" max="8205" width="58.28125" style="337" customWidth="1"/>
    <col min="8206" max="8448" width="9.140625" style="337" customWidth="1"/>
    <col min="8449" max="8449" width="5.7109375" style="337" customWidth="1"/>
    <col min="8450" max="8450" width="14.8515625" style="337" customWidth="1"/>
    <col min="8451" max="8451" width="60.7109375" style="337" customWidth="1"/>
    <col min="8452" max="8452" width="8.28125" style="337" customWidth="1"/>
    <col min="8453" max="8453" width="10.57421875" style="337" customWidth="1"/>
    <col min="8454" max="8454" width="14.57421875" style="337" customWidth="1"/>
    <col min="8455" max="8455" width="15.421875" style="337" customWidth="1"/>
    <col min="8456" max="8456" width="8.8515625" style="337" customWidth="1"/>
    <col min="8457" max="8459" width="11.7109375" style="337" customWidth="1"/>
    <col min="8460" max="8460" width="7.57421875" style="337" customWidth="1"/>
    <col min="8461" max="8461" width="58.28125" style="337" customWidth="1"/>
    <col min="8462" max="8704" width="9.140625" style="337" customWidth="1"/>
    <col min="8705" max="8705" width="5.7109375" style="337" customWidth="1"/>
    <col min="8706" max="8706" width="14.8515625" style="337" customWidth="1"/>
    <col min="8707" max="8707" width="60.7109375" style="337" customWidth="1"/>
    <col min="8708" max="8708" width="8.28125" style="337" customWidth="1"/>
    <col min="8709" max="8709" width="10.57421875" style="337" customWidth="1"/>
    <col min="8710" max="8710" width="14.57421875" style="337" customWidth="1"/>
    <col min="8711" max="8711" width="15.421875" style="337" customWidth="1"/>
    <col min="8712" max="8712" width="8.8515625" style="337" customWidth="1"/>
    <col min="8713" max="8715" width="11.7109375" style="337" customWidth="1"/>
    <col min="8716" max="8716" width="7.57421875" style="337" customWidth="1"/>
    <col min="8717" max="8717" width="58.28125" style="337" customWidth="1"/>
    <col min="8718" max="8960" width="9.140625" style="337" customWidth="1"/>
    <col min="8961" max="8961" width="5.7109375" style="337" customWidth="1"/>
    <col min="8962" max="8962" width="14.8515625" style="337" customWidth="1"/>
    <col min="8963" max="8963" width="60.7109375" style="337" customWidth="1"/>
    <col min="8964" max="8964" width="8.28125" style="337" customWidth="1"/>
    <col min="8965" max="8965" width="10.57421875" style="337" customWidth="1"/>
    <col min="8966" max="8966" width="14.57421875" style="337" customWidth="1"/>
    <col min="8967" max="8967" width="15.421875" style="337" customWidth="1"/>
    <col min="8968" max="8968" width="8.8515625" style="337" customWidth="1"/>
    <col min="8969" max="8971" width="11.7109375" style="337" customWidth="1"/>
    <col min="8972" max="8972" width="7.57421875" style="337" customWidth="1"/>
    <col min="8973" max="8973" width="58.28125" style="337" customWidth="1"/>
    <col min="8974" max="9216" width="9.140625" style="337" customWidth="1"/>
    <col min="9217" max="9217" width="5.7109375" style="337" customWidth="1"/>
    <col min="9218" max="9218" width="14.8515625" style="337" customWidth="1"/>
    <col min="9219" max="9219" width="60.7109375" style="337" customWidth="1"/>
    <col min="9220" max="9220" width="8.28125" style="337" customWidth="1"/>
    <col min="9221" max="9221" width="10.57421875" style="337" customWidth="1"/>
    <col min="9222" max="9222" width="14.57421875" style="337" customWidth="1"/>
    <col min="9223" max="9223" width="15.421875" style="337" customWidth="1"/>
    <col min="9224" max="9224" width="8.8515625" style="337" customWidth="1"/>
    <col min="9225" max="9227" width="11.7109375" style="337" customWidth="1"/>
    <col min="9228" max="9228" width="7.57421875" style="337" customWidth="1"/>
    <col min="9229" max="9229" width="58.28125" style="337" customWidth="1"/>
    <col min="9230" max="9472" width="9.140625" style="337" customWidth="1"/>
    <col min="9473" max="9473" width="5.7109375" style="337" customWidth="1"/>
    <col min="9474" max="9474" width="14.8515625" style="337" customWidth="1"/>
    <col min="9475" max="9475" width="60.7109375" style="337" customWidth="1"/>
    <col min="9476" max="9476" width="8.28125" style="337" customWidth="1"/>
    <col min="9477" max="9477" width="10.57421875" style="337" customWidth="1"/>
    <col min="9478" max="9478" width="14.57421875" style="337" customWidth="1"/>
    <col min="9479" max="9479" width="15.421875" style="337" customWidth="1"/>
    <col min="9480" max="9480" width="8.8515625" style="337" customWidth="1"/>
    <col min="9481" max="9483" width="11.7109375" style="337" customWidth="1"/>
    <col min="9484" max="9484" width="7.57421875" style="337" customWidth="1"/>
    <col min="9485" max="9485" width="58.28125" style="337" customWidth="1"/>
    <col min="9486" max="9728" width="9.140625" style="337" customWidth="1"/>
    <col min="9729" max="9729" width="5.7109375" style="337" customWidth="1"/>
    <col min="9730" max="9730" width="14.8515625" style="337" customWidth="1"/>
    <col min="9731" max="9731" width="60.7109375" style="337" customWidth="1"/>
    <col min="9732" max="9732" width="8.28125" style="337" customWidth="1"/>
    <col min="9733" max="9733" width="10.57421875" style="337" customWidth="1"/>
    <col min="9734" max="9734" width="14.57421875" style="337" customWidth="1"/>
    <col min="9735" max="9735" width="15.421875" style="337" customWidth="1"/>
    <col min="9736" max="9736" width="8.8515625" style="337" customWidth="1"/>
    <col min="9737" max="9739" width="11.7109375" style="337" customWidth="1"/>
    <col min="9740" max="9740" width="7.57421875" style="337" customWidth="1"/>
    <col min="9741" max="9741" width="58.28125" style="337" customWidth="1"/>
    <col min="9742" max="9984" width="9.140625" style="337" customWidth="1"/>
    <col min="9985" max="9985" width="5.7109375" style="337" customWidth="1"/>
    <col min="9986" max="9986" width="14.8515625" style="337" customWidth="1"/>
    <col min="9987" max="9987" width="60.7109375" style="337" customWidth="1"/>
    <col min="9988" max="9988" width="8.28125" style="337" customWidth="1"/>
    <col min="9989" max="9989" width="10.57421875" style="337" customWidth="1"/>
    <col min="9990" max="9990" width="14.57421875" style="337" customWidth="1"/>
    <col min="9991" max="9991" width="15.421875" style="337" customWidth="1"/>
    <col min="9992" max="9992" width="8.8515625" style="337" customWidth="1"/>
    <col min="9993" max="9995" width="11.7109375" style="337" customWidth="1"/>
    <col min="9996" max="9996" width="7.57421875" style="337" customWidth="1"/>
    <col min="9997" max="9997" width="58.28125" style="337" customWidth="1"/>
    <col min="9998" max="10240" width="9.140625" style="337" customWidth="1"/>
    <col min="10241" max="10241" width="5.7109375" style="337" customWidth="1"/>
    <col min="10242" max="10242" width="14.8515625" style="337" customWidth="1"/>
    <col min="10243" max="10243" width="60.7109375" style="337" customWidth="1"/>
    <col min="10244" max="10244" width="8.28125" style="337" customWidth="1"/>
    <col min="10245" max="10245" width="10.57421875" style="337" customWidth="1"/>
    <col min="10246" max="10246" width="14.57421875" style="337" customWidth="1"/>
    <col min="10247" max="10247" width="15.421875" style="337" customWidth="1"/>
    <col min="10248" max="10248" width="8.8515625" style="337" customWidth="1"/>
    <col min="10249" max="10251" width="11.7109375" style="337" customWidth="1"/>
    <col min="10252" max="10252" width="7.57421875" style="337" customWidth="1"/>
    <col min="10253" max="10253" width="58.28125" style="337" customWidth="1"/>
    <col min="10254" max="10496" width="9.140625" style="337" customWidth="1"/>
    <col min="10497" max="10497" width="5.7109375" style="337" customWidth="1"/>
    <col min="10498" max="10498" width="14.8515625" style="337" customWidth="1"/>
    <col min="10499" max="10499" width="60.7109375" style="337" customWidth="1"/>
    <col min="10500" max="10500" width="8.28125" style="337" customWidth="1"/>
    <col min="10501" max="10501" width="10.57421875" style="337" customWidth="1"/>
    <col min="10502" max="10502" width="14.57421875" style="337" customWidth="1"/>
    <col min="10503" max="10503" width="15.421875" style="337" customWidth="1"/>
    <col min="10504" max="10504" width="8.8515625" style="337" customWidth="1"/>
    <col min="10505" max="10507" width="11.7109375" style="337" customWidth="1"/>
    <col min="10508" max="10508" width="7.57421875" style="337" customWidth="1"/>
    <col min="10509" max="10509" width="58.28125" style="337" customWidth="1"/>
    <col min="10510" max="10752" width="9.140625" style="337" customWidth="1"/>
    <col min="10753" max="10753" width="5.7109375" style="337" customWidth="1"/>
    <col min="10754" max="10754" width="14.8515625" style="337" customWidth="1"/>
    <col min="10755" max="10755" width="60.7109375" style="337" customWidth="1"/>
    <col min="10756" max="10756" width="8.28125" style="337" customWidth="1"/>
    <col min="10757" max="10757" width="10.57421875" style="337" customWidth="1"/>
    <col min="10758" max="10758" width="14.57421875" style="337" customWidth="1"/>
    <col min="10759" max="10759" width="15.421875" style="337" customWidth="1"/>
    <col min="10760" max="10760" width="8.8515625" style="337" customWidth="1"/>
    <col min="10761" max="10763" width="11.7109375" style="337" customWidth="1"/>
    <col min="10764" max="10764" width="7.57421875" style="337" customWidth="1"/>
    <col min="10765" max="10765" width="58.28125" style="337" customWidth="1"/>
    <col min="10766" max="11008" width="9.140625" style="337" customWidth="1"/>
    <col min="11009" max="11009" width="5.7109375" style="337" customWidth="1"/>
    <col min="11010" max="11010" width="14.8515625" style="337" customWidth="1"/>
    <col min="11011" max="11011" width="60.7109375" style="337" customWidth="1"/>
    <col min="11012" max="11012" width="8.28125" style="337" customWidth="1"/>
    <col min="11013" max="11013" width="10.57421875" style="337" customWidth="1"/>
    <col min="11014" max="11014" width="14.57421875" style="337" customWidth="1"/>
    <col min="11015" max="11015" width="15.421875" style="337" customWidth="1"/>
    <col min="11016" max="11016" width="8.8515625" style="337" customWidth="1"/>
    <col min="11017" max="11019" width="11.7109375" style="337" customWidth="1"/>
    <col min="11020" max="11020" width="7.57421875" style="337" customWidth="1"/>
    <col min="11021" max="11021" width="58.28125" style="337" customWidth="1"/>
    <col min="11022" max="11264" width="9.140625" style="337" customWidth="1"/>
    <col min="11265" max="11265" width="5.7109375" style="337" customWidth="1"/>
    <col min="11266" max="11266" width="14.8515625" style="337" customWidth="1"/>
    <col min="11267" max="11267" width="60.7109375" style="337" customWidth="1"/>
    <col min="11268" max="11268" width="8.28125" style="337" customWidth="1"/>
    <col min="11269" max="11269" width="10.57421875" style="337" customWidth="1"/>
    <col min="11270" max="11270" width="14.57421875" style="337" customWidth="1"/>
    <col min="11271" max="11271" width="15.421875" style="337" customWidth="1"/>
    <col min="11272" max="11272" width="8.8515625" style="337" customWidth="1"/>
    <col min="11273" max="11275" width="11.7109375" style="337" customWidth="1"/>
    <col min="11276" max="11276" width="7.57421875" style="337" customWidth="1"/>
    <col min="11277" max="11277" width="58.28125" style="337" customWidth="1"/>
    <col min="11278" max="11520" width="9.140625" style="337" customWidth="1"/>
    <col min="11521" max="11521" width="5.7109375" style="337" customWidth="1"/>
    <col min="11522" max="11522" width="14.8515625" style="337" customWidth="1"/>
    <col min="11523" max="11523" width="60.7109375" style="337" customWidth="1"/>
    <col min="11524" max="11524" width="8.28125" style="337" customWidth="1"/>
    <col min="11525" max="11525" width="10.57421875" style="337" customWidth="1"/>
    <col min="11526" max="11526" width="14.57421875" style="337" customWidth="1"/>
    <col min="11527" max="11527" width="15.421875" style="337" customWidth="1"/>
    <col min="11528" max="11528" width="8.8515625" style="337" customWidth="1"/>
    <col min="11529" max="11531" width="11.7109375" style="337" customWidth="1"/>
    <col min="11532" max="11532" width="7.57421875" style="337" customWidth="1"/>
    <col min="11533" max="11533" width="58.28125" style="337" customWidth="1"/>
    <col min="11534" max="11776" width="9.140625" style="337" customWidth="1"/>
    <col min="11777" max="11777" width="5.7109375" style="337" customWidth="1"/>
    <col min="11778" max="11778" width="14.8515625" style="337" customWidth="1"/>
    <col min="11779" max="11779" width="60.7109375" style="337" customWidth="1"/>
    <col min="11780" max="11780" width="8.28125" style="337" customWidth="1"/>
    <col min="11781" max="11781" width="10.57421875" style="337" customWidth="1"/>
    <col min="11782" max="11782" width="14.57421875" style="337" customWidth="1"/>
    <col min="11783" max="11783" width="15.421875" style="337" customWidth="1"/>
    <col min="11784" max="11784" width="8.8515625" style="337" customWidth="1"/>
    <col min="11785" max="11787" width="11.7109375" style="337" customWidth="1"/>
    <col min="11788" max="11788" width="7.57421875" style="337" customWidth="1"/>
    <col min="11789" max="11789" width="58.28125" style="337" customWidth="1"/>
    <col min="11790" max="12032" width="9.140625" style="337" customWidth="1"/>
    <col min="12033" max="12033" width="5.7109375" style="337" customWidth="1"/>
    <col min="12034" max="12034" width="14.8515625" style="337" customWidth="1"/>
    <col min="12035" max="12035" width="60.7109375" style="337" customWidth="1"/>
    <col min="12036" max="12036" width="8.28125" style="337" customWidth="1"/>
    <col min="12037" max="12037" width="10.57421875" style="337" customWidth="1"/>
    <col min="12038" max="12038" width="14.57421875" style="337" customWidth="1"/>
    <col min="12039" max="12039" width="15.421875" style="337" customWidth="1"/>
    <col min="12040" max="12040" width="8.8515625" style="337" customWidth="1"/>
    <col min="12041" max="12043" width="11.7109375" style="337" customWidth="1"/>
    <col min="12044" max="12044" width="7.57421875" style="337" customWidth="1"/>
    <col min="12045" max="12045" width="58.28125" style="337" customWidth="1"/>
    <col min="12046" max="12288" width="9.140625" style="337" customWidth="1"/>
    <col min="12289" max="12289" width="5.7109375" style="337" customWidth="1"/>
    <col min="12290" max="12290" width="14.8515625" style="337" customWidth="1"/>
    <col min="12291" max="12291" width="60.7109375" style="337" customWidth="1"/>
    <col min="12292" max="12292" width="8.28125" style="337" customWidth="1"/>
    <col min="12293" max="12293" width="10.57421875" style="337" customWidth="1"/>
    <col min="12294" max="12294" width="14.57421875" style="337" customWidth="1"/>
    <col min="12295" max="12295" width="15.421875" style="337" customWidth="1"/>
    <col min="12296" max="12296" width="8.8515625" style="337" customWidth="1"/>
    <col min="12297" max="12299" width="11.7109375" style="337" customWidth="1"/>
    <col min="12300" max="12300" width="7.57421875" style="337" customWidth="1"/>
    <col min="12301" max="12301" width="58.28125" style="337" customWidth="1"/>
    <col min="12302" max="12544" width="9.140625" style="337" customWidth="1"/>
    <col min="12545" max="12545" width="5.7109375" style="337" customWidth="1"/>
    <col min="12546" max="12546" width="14.8515625" style="337" customWidth="1"/>
    <col min="12547" max="12547" width="60.7109375" style="337" customWidth="1"/>
    <col min="12548" max="12548" width="8.28125" style="337" customWidth="1"/>
    <col min="12549" max="12549" width="10.57421875" style="337" customWidth="1"/>
    <col min="12550" max="12550" width="14.57421875" style="337" customWidth="1"/>
    <col min="12551" max="12551" width="15.421875" style="337" customWidth="1"/>
    <col min="12552" max="12552" width="8.8515625" style="337" customWidth="1"/>
    <col min="12553" max="12555" width="11.7109375" style="337" customWidth="1"/>
    <col min="12556" max="12556" width="7.57421875" style="337" customWidth="1"/>
    <col min="12557" max="12557" width="58.28125" style="337" customWidth="1"/>
    <col min="12558" max="12800" width="9.140625" style="337" customWidth="1"/>
    <col min="12801" max="12801" width="5.7109375" style="337" customWidth="1"/>
    <col min="12802" max="12802" width="14.8515625" style="337" customWidth="1"/>
    <col min="12803" max="12803" width="60.7109375" style="337" customWidth="1"/>
    <col min="12804" max="12804" width="8.28125" style="337" customWidth="1"/>
    <col min="12805" max="12805" width="10.57421875" style="337" customWidth="1"/>
    <col min="12806" max="12806" width="14.57421875" style="337" customWidth="1"/>
    <col min="12807" max="12807" width="15.421875" style="337" customWidth="1"/>
    <col min="12808" max="12808" width="8.8515625" style="337" customWidth="1"/>
    <col min="12809" max="12811" width="11.7109375" style="337" customWidth="1"/>
    <col min="12812" max="12812" width="7.57421875" style="337" customWidth="1"/>
    <col min="12813" max="12813" width="58.28125" style="337" customWidth="1"/>
    <col min="12814" max="13056" width="9.140625" style="337" customWidth="1"/>
    <col min="13057" max="13057" width="5.7109375" style="337" customWidth="1"/>
    <col min="13058" max="13058" width="14.8515625" style="337" customWidth="1"/>
    <col min="13059" max="13059" width="60.7109375" style="337" customWidth="1"/>
    <col min="13060" max="13060" width="8.28125" style="337" customWidth="1"/>
    <col min="13061" max="13061" width="10.57421875" style="337" customWidth="1"/>
    <col min="13062" max="13062" width="14.57421875" style="337" customWidth="1"/>
    <col min="13063" max="13063" width="15.421875" style="337" customWidth="1"/>
    <col min="13064" max="13064" width="8.8515625" style="337" customWidth="1"/>
    <col min="13065" max="13067" width="11.7109375" style="337" customWidth="1"/>
    <col min="13068" max="13068" width="7.57421875" style="337" customWidth="1"/>
    <col min="13069" max="13069" width="58.28125" style="337" customWidth="1"/>
    <col min="13070" max="13312" width="9.140625" style="337" customWidth="1"/>
    <col min="13313" max="13313" width="5.7109375" style="337" customWidth="1"/>
    <col min="13314" max="13314" width="14.8515625" style="337" customWidth="1"/>
    <col min="13315" max="13315" width="60.7109375" style="337" customWidth="1"/>
    <col min="13316" max="13316" width="8.28125" style="337" customWidth="1"/>
    <col min="13317" max="13317" width="10.57421875" style="337" customWidth="1"/>
    <col min="13318" max="13318" width="14.57421875" style="337" customWidth="1"/>
    <col min="13319" max="13319" width="15.421875" style="337" customWidth="1"/>
    <col min="13320" max="13320" width="8.8515625" style="337" customWidth="1"/>
    <col min="13321" max="13323" width="11.7109375" style="337" customWidth="1"/>
    <col min="13324" max="13324" width="7.57421875" style="337" customWidth="1"/>
    <col min="13325" max="13325" width="58.28125" style="337" customWidth="1"/>
    <col min="13326" max="13568" width="9.140625" style="337" customWidth="1"/>
    <col min="13569" max="13569" width="5.7109375" style="337" customWidth="1"/>
    <col min="13570" max="13570" width="14.8515625" style="337" customWidth="1"/>
    <col min="13571" max="13571" width="60.7109375" style="337" customWidth="1"/>
    <col min="13572" max="13572" width="8.28125" style="337" customWidth="1"/>
    <col min="13573" max="13573" width="10.57421875" style="337" customWidth="1"/>
    <col min="13574" max="13574" width="14.57421875" style="337" customWidth="1"/>
    <col min="13575" max="13575" width="15.421875" style="337" customWidth="1"/>
    <col min="13576" max="13576" width="8.8515625" style="337" customWidth="1"/>
    <col min="13577" max="13579" width="11.7109375" style="337" customWidth="1"/>
    <col min="13580" max="13580" width="7.57421875" style="337" customWidth="1"/>
    <col min="13581" max="13581" width="58.28125" style="337" customWidth="1"/>
    <col min="13582" max="13824" width="9.140625" style="337" customWidth="1"/>
    <col min="13825" max="13825" width="5.7109375" style="337" customWidth="1"/>
    <col min="13826" max="13826" width="14.8515625" style="337" customWidth="1"/>
    <col min="13827" max="13827" width="60.7109375" style="337" customWidth="1"/>
    <col min="13828" max="13828" width="8.28125" style="337" customWidth="1"/>
    <col min="13829" max="13829" width="10.57421875" style="337" customWidth="1"/>
    <col min="13830" max="13830" width="14.57421875" style="337" customWidth="1"/>
    <col min="13831" max="13831" width="15.421875" style="337" customWidth="1"/>
    <col min="13832" max="13832" width="8.8515625" style="337" customWidth="1"/>
    <col min="13833" max="13835" width="11.7109375" style="337" customWidth="1"/>
    <col min="13836" max="13836" width="7.57421875" style="337" customWidth="1"/>
    <col min="13837" max="13837" width="58.28125" style="337" customWidth="1"/>
    <col min="13838" max="14080" width="9.140625" style="337" customWidth="1"/>
    <col min="14081" max="14081" width="5.7109375" style="337" customWidth="1"/>
    <col min="14082" max="14082" width="14.8515625" style="337" customWidth="1"/>
    <col min="14083" max="14083" width="60.7109375" style="337" customWidth="1"/>
    <col min="14084" max="14084" width="8.28125" style="337" customWidth="1"/>
    <col min="14085" max="14085" width="10.57421875" style="337" customWidth="1"/>
    <col min="14086" max="14086" width="14.57421875" style="337" customWidth="1"/>
    <col min="14087" max="14087" width="15.421875" style="337" customWidth="1"/>
    <col min="14088" max="14088" width="8.8515625" style="337" customWidth="1"/>
    <col min="14089" max="14091" width="11.7109375" style="337" customWidth="1"/>
    <col min="14092" max="14092" width="7.57421875" style="337" customWidth="1"/>
    <col min="14093" max="14093" width="58.28125" style="337" customWidth="1"/>
    <col min="14094" max="14336" width="9.140625" style="337" customWidth="1"/>
    <col min="14337" max="14337" width="5.7109375" style="337" customWidth="1"/>
    <col min="14338" max="14338" width="14.8515625" style="337" customWidth="1"/>
    <col min="14339" max="14339" width="60.7109375" style="337" customWidth="1"/>
    <col min="14340" max="14340" width="8.28125" style="337" customWidth="1"/>
    <col min="14341" max="14341" width="10.57421875" style="337" customWidth="1"/>
    <col min="14342" max="14342" width="14.57421875" style="337" customWidth="1"/>
    <col min="14343" max="14343" width="15.421875" style="337" customWidth="1"/>
    <col min="14344" max="14344" width="8.8515625" style="337" customWidth="1"/>
    <col min="14345" max="14347" width="11.7109375" style="337" customWidth="1"/>
    <col min="14348" max="14348" width="7.57421875" style="337" customWidth="1"/>
    <col min="14349" max="14349" width="58.28125" style="337" customWidth="1"/>
    <col min="14350" max="14592" width="9.140625" style="337" customWidth="1"/>
    <col min="14593" max="14593" width="5.7109375" style="337" customWidth="1"/>
    <col min="14594" max="14594" width="14.8515625" style="337" customWidth="1"/>
    <col min="14595" max="14595" width="60.7109375" style="337" customWidth="1"/>
    <col min="14596" max="14596" width="8.28125" style="337" customWidth="1"/>
    <col min="14597" max="14597" width="10.57421875" style="337" customWidth="1"/>
    <col min="14598" max="14598" width="14.57421875" style="337" customWidth="1"/>
    <col min="14599" max="14599" width="15.421875" style="337" customWidth="1"/>
    <col min="14600" max="14600" width="8.8515625" style="337" customWidth="1"/>
    <col min="14601" max="14603" width="11.7109375" style="337" customWidth="1"/>
    <col min="14604" max="14604" width="7.57421875" style="337" customWidth="1"/>
    <col min="14605" max="14605" width="58.28125" style="337" customWidth="1"/>
    <col min="14606" max="14848" width="9.140625" style="337" customWidth="1"/>
    <col min="14849" max="14849" width="5.7109375" style="337" customWidth="1"/>
    <col min="14850" max="14850" width="14.8515625" style="337" customWidth="1"/>
    <col min="14851" max="14851" width="60.7109375" style="337" customWidth="1"/>
    <col min="14852" max="14852" width="8.28125" style="337" customWidth="1"/>
    <col min="14853" max="14853" width="10.57421875" style="337" customWidth="1"/>
    <col min="14854" max="14854" width="14.57421875" style="337" customWidth="1"/>
    <col min="14855" max="14855" width="15.421875" style="337" customWidth="1"/>
    <col min="14856" max="14856" width="8.8515625" style="337" customWidth="1"/>
    <col min="14857" max="14859" width="11.7109375" style="337" customWidth="1"/>
    <col min="14860" max="14860" width="7.57421875" style="337" customWidth="1"/>
    <col min="14861" max="14861" width="58.28125" style="337" customWidth="1"/>
    <col min="14862" max="15104" width="9.140625" style="337" customWidth="1"/>
    <col min="15105" max="15105" width="5.7109375" style="337" customWidth="1"/>
    <col min="15106" max="15106" width="14.8515625" style="337" customWidth="1"/>
    <col min="15107" max="15107" width="60.7109375" style="337" customWidth="1"/>
    <col min="15108" max="15108" width="8.28125" style="337" customWidth="1"/>
    <col min="15109" max="15109" width="10.57421875" style="337" customWidth="1"/>
    <col min="15110" max="15110" width="14.57421875" style="337" customWidth="1"/>
    <col min="15111" max="15111" width="15.421875" style="337" customWidth="1"/>
    <col min="15112" max="15112" width="8.8515625" style="337" customWidth="1"/>
    <col min="15113" max="15115" width="11.7109375" style="337" customWidth="1"/>
    <col min="15116" max="15116" width="7.57421875" style="337" customWidth="1"/>
    <col min="15117" max="15117" width="58.28125" style="337" customWidth="1"/>
    <col min="15118" max="15360" width="9.140625" style="337" customWidth="1"/>
    <col min="15361" max="15361" width="5.7109375" style="337" customWidth="1"/>
    <col min="15362" max="15362" width="14.8515625" style="337" customWidth="1"/>
    <col min="15363" max="15363" width="60.7109375" style="337" customWidth="1"/>
    <col min="15364" max="15364" width="8.28125" style="337" customWidth="1"/>
    <col min="15365" max="15365" width="10.57421875" style="337" customWidth="1"/>
    <col min="15366" max="15366" width="14.57421875" style="337" customWidth="1"/>
    <col min="15367" max="15367" width="15.421875" style="337" customWidth="1"/>
    <col min="15368" max="15368" width="8.8515625" style="337" customWidth="1"/>
    <col min="15369" max="15371" width="11.7109375" style="337" customWidth="1"/>
    <col min="15372" max="15372" width="7.57421875" style="337" customWidth="1"/>
    <col min="15373" max="15373" width="58.28125" style="337" customWidth="1"/>
    <col min="15374" max="15616" width="9.140625" style="337" customWidth="1"/>
    <col min="15617" max="15617" width="5.7109375" style="337" customWidth="1"/>
    <col min="15618" max="15618" width="14.8515625" style="337" customWidth="1"/>
    <col min="15619" max="15619" width="60.7109375" style="337" customWidth="1"/>
    <col min="15620" max="15620" width="8.28125" style="337" customWidth="1"/>
    <col min="15621" max="15621" width="10.57421875" style="337" customWidth="1"/>
    <col min="15622" max="15622" width="14.57421875" style="337" customWidth="1"/>
    <col min="15623" max="15623" width="15.421875" style="337" customWidth="1"/>
    <col min="15624" max="15624" width="8.8515625" style="337" customWidth="1"/>
    <col min="15625" max="15627" width="11.7109375" style="337" customWidth="1"/>
    <col min="15628" max="15628" width="7.57421875" style="337" customWidth="1"/>
    <col min="15629" max="15629" width="58.28125" style="337" customWidth="1"/>
    <col min="15630" max="15872" width="9.140625" style="337" customWidth="1"/>
    <col min="15873" max="15873" width="5.7109375" style="337" customWidth="1"/>
    <col min="15874" max="15874" width="14.8515625" style="337" customWidth="1"/>
    <col min="15875" max="15875" width="60.7109375" style="337" customWidth="1"/>
    <col min="15876" max="15876" width="8.28125" style="337" customWidth="1"/>
    <col min="15877" max="15877" width="10.57421875" style="337" customWidth="1"/>
    <col min="15878" max="15878" width="14.57421875" style="337" customWidth="1"/>
    <col min="15879" max="15879" width="15.421875" style="337" customWidth="1"/>
    <col min="15880" max="15880" width="8.8515625" style="337" customWidth="1"/>
    <col min="15881" max="15883" width="11.7109375" style="337" customWidth="1"/>
    <col min="15884" max="15884" width="7.57421875" style="337" customWidth="1"/>
    <col min="15885" max="15885" width="58.28125" style="337" customWidth="1"/>
    <col min="15886" max="16128" width="9.140625" style="337" customWidth="1"/>
    <col min="16129" max="16129" width="5.7109375" style="337" customWidth="1"/>
    <col min="16130" max="16130" width="14.8515625" style="337" customWidth="1"/>
    <col min="16131" max="16131" width="60.7109375" style="337" customWidth="1"/>
    <col min="16132" max="16132" width="8.28125" style="337" customWidth="1"/>
    <col min="16133" max="16133" width="10.57421875" style="337" customWidth="1"/>
    <col min="16134" max="16134" width="14.57421875" style="337" customWidth="1"/>
    <col min="16135" max="16135" width="15.421875" style="337" customWidth="1"/>
    <col min="16136" max="16136" width="8.8515625" style="337" customWidth="1"/>
    <col min="16137" max="16139" width="11.7109375" style="337" customWidth="1"/>
    <col min="16140" max="16140" width="7.57421875" style="337" customWidth="1"/>
    <col min="16141" max="16141" width="58.28125" style="337" customWidth="1"/>
    <col min="16142" max="16384" width="9.140625" style="337" customWidth="1"/>
  </cols>
  <sheetData>
    <row r="1" spans="1:7" ht="15.6">
      <c r="A1" s="554" t="s">
        <v>2214</v>
      </c>
      <c r="B1" s="554"/>
      <c r="C1" s="554"/>
      <c r="D1" s="554"/>
      <c r="E1" s="554"/>
      <c r="F1" s="554"/>
      <c r="G1" s="554"/>
    </row>
    <row r="2" spans="1:8" ht="14.25" customHeight="1" thickBot="1">
      <c r="A2" s="337" t="s">
        <v>2215</v>
      </c>
      <c r="B2" s="338"/>
      <c r="C2" s="339"/>
      <c r="D2" s="339"/>
      <c r="E2" s="340"/>
      <c r="F2" s="339"/>
      <c r="G2" s="339"/>
      <c r="H2" s="341"/>
    </row>
    <row r="3" spans="1:8" ht="25.8" customHeight="1" thickBot="1" thickTop="1">
      <c r="A3" s="555" t="s">
        <v>2216</v>
      </c>
      <c r="B3" s="556"/>
      <c r="C3" s="342" t="s">
        <v>2217</v>
      </c>
      <c r="D3" s="342"/>
      <c r="E3" s="343"/>
      <c r="F3" s="344"/>
      <c r="G3" s="345"/>
      <c r="H3" s="345"/>
    </row>
    <row r="4" spans="1:8" ht="31.2" customHeight="1" thickBot="1" thickTop="1">
      <c r="A4" s="557" t="s">
        <v>2218</v>
      </c>
      <c r="B4" s="558"/>
      <c r="C4" s="346" t="s">
        <v>2219</v>
      </c>
      <c r="D4" s="347"/>
      <c r="E4" s="559"/>
      <c r="F4" s="560"/>
      <c r="G4" s="561"/>
      <c r="H4" s="348"/>
    </row>
    <row r="5" spans="1:8" ht="18" thickTop="1">
      <c r="A5" s="562" t="s">
        <v>2220</v>
      </c>
      <c r="B5" s="562"/>
      <c r="C5" s="562"/>
      <c r="D5" s="562"/>
      <c r="E5" s="562"/>
      <c r="F5" s="562"/>
      <c r="G5" s="562"/>
      <c r="H5" s="349"/>
    </row>
    <row r="6" spans="1:8" ht="13.8" thickBot="1">
      <c r="A6" s="349"/>
      <c r="B6" s="349"/>
      <c r="C6" s="349"/>
      <c r="D6" s="349"/>
      <c r="E6" s="349"/>
      <c r="F6" s="349"/>
      <c r="G6" s="349"/>
      <c r="H6" s="349"/>
    </row>
    <row r="7" spans="1:8" ht="13.8" thickBot="1">
      <c r="A7" s="350"/>
      <c r="B7" s="351" t="s">
        <v>1876</v>
      </c>
      <c r="C7" s="351"/>
      <c r="D7" s="351"/>
      <c r="E7" s="352"/>
      <c r="F7" s="353" t="s">
        <v>241</v>
      </c>
      <c r="G7" s="353" t="s">
        <v>2015</v>
      </c>
      <c r="H7" s="353"/>
    </row>
    <row r="8" spans="1:8" ht="12">
      <c r="A8" s="354" t="s">
        <v>2221</v>
      </c>
      <c r="B8" s="354" t="s">
        <v>2222</v>
      </c>
      <c r="C8" s="349"/>
      <c r="D8" s="349"/>
      <c r="E8" s="355"/>
      <c r="F8" s="356">
        <f>G193</f>
        <v>0</v>
      </c>
      <c r="G8" s="356"/>
      <c r="H8" s="357"/>
    </row>
    <row r="9" spans="1:8" ht="13.8" thickBot="1">
      <c r="A9" s="354" t="s">
        <v>816</v>
      </c>
      <c r="B9" s="354" t="s">
        <v>2223</v>
      </c>
      <c r="C9" s="349"/>
      <c r="D9" s="349"/>
      <c r="E9" s="355"/>
      <c r="F9" s="356">
        <f>G196</f>
        <v>0</v>
      </c>
      <c r="G9" s="356"/>
      <c r="H9" s="357"/>
    </row>
    <row r="10" spans="1:8" ht="13.8" thickBot="1">
      <c r="A10" s="358"/>
      <c r="B10" s="351" t="s">
        <v>2224</v>
      </c>
      <c r="C10" s="351"/>
      <c r="D10" s="351"/>
      <c r="E10" s="352"/>
      <c r="F10" s="359">
        <f>SUM(F8:F9)</f>
        <v>0</v>
      </c>
      <c r="G10" s="360">
        <v>0</v>
      </c>
      <c r="H10" s="361"/>
    </row>
    <row r="11" spans="1:8" ht="13.8" thickBot="1">
      <c r="A11" s="362"/>
      <c r="B11" s="362" t="s">
        <v>2037</v>
      </c>
      <c r="C11" s="362"/>
      <c r="D11" s="362"/>
      <c r="E11" s="363"/>
      <c r="F11" s="364">
        <f>F10*21%</f>
        <v>0</v>
      </c>
      <c r="G11" s="363"/>
      <c r="H11" s="365"/>
    </row>
    <row r="12" spans="1:8" ht="13.8" thickBot="1">
      <c r="A12" s="366"/>
      <c r="B12" s="367" t="s">
        <v>2225</v>
      </c>
      <c r="C12" s="367"/>
      <c r="D12" s="367"/>
      <c r="E12" s="368"/>
      <c r="F12" s="367"/>
      <c r="G12" s="369">
        <f>F10+F11</f>
        <v>0</v>
      </c>
      <c r="H12" s="370"/>
    </row>
    <row r="13" ht="12">
      <c r="A13" s="371"/>
    </row>
    <row r="14" spans="1:8" ht="12">
      <c r="A14" s="373" t="s">
        <v>2226</v>
      </c>
      <c r="B14" s="374" t="s">
        <v>2227</v>
      </c>
      <c r="C14" s="374" t="s">
        <v>2228</v>
      </c>
      <c r="D14" s="374" t="s">
        <v>131</v>
      </c>
      <c r="E14" s="374" t="s">
        <v>2229</v>
      </c>
      <c r="F14" s="374" t="s">
        <v>2230</v>
      </c>
      <c r="G14" s="375" t="s">
        <v>2231</v>
      </c>
      <c r="H14" s="375" t="s">
        <v>2232</v>
      </c>
    </row>
    <row r="15" spans="1:15" ht="16.35" customHeight="1">
      <c r="A15" s="376" t="s">
        <v>2233</v>
      </c>
      <c r="B15" s="377" t="s">
        <v>2221</v>
      </c>
      <c r="C15" s="378" t="s">
        <v>2222</v>
      </c>
      <c r="D15" s="379"/>
      <c r="E15" s="380"/>
      <c r="F15" s="380"/>
      <c r="G15" s="381"/>
      <c r="H15" s="381"/>
      <c r="O15" s="382">
        <v>1</v>
      </c>
    </row>
    <row r="16" spans="1:15" ht="16.35" customHeight="1">
      <c r="A16" s="383">
        <v>1</v>
      </c>
      <c r="B16" s="384" t="s">
        <v>2234</v>
      </c>
      <c r="C16" s="385" t="s">
        <v>2235</v>
      </c>
      <c r="D16" s="386" t="s">
        <v>246</v>
      </c>
      <c r="E16" s="387">
        <v>659</v>
      </c>
      <c r="F16" s="388"/>
      <c r="G16" s="389">
        <f>E16*F16</f>
        <v>0</v>
      </c>
      <c r="H16" s="389"/>
      <c r="O16" s="382"/>
    </row>
    <row r="17" spans="1:15" ht="16.35" customHeight="1">
      <c r="A17" s="390"/>
      <c r="B17" s="384"/>
      <c r="C17" s="391" t="s">
        <v>2236</v>
      </c>
      <c r="D17" s="392"/>
      <c r="E17" s="393"/>
      <c r="F17" s="388"/>
      <c r="G17" s="389"/>
      <c r="H17" s="389"/>
      <c r="O17" s="382"/>
    </row>
    <row r="18" spans="1:15" ht="16.35" customHeight="1">
      <c r="A18" s="390"/>
      <c r="B18" s="384"/>
      <c r="C18" s="394">
        <v>659</v>
      </c>
      <c r="D18" s="395"/>
      <c r="E18" s="391">
        <v>659</v>
      </c>
      <c r="F18" s="388"/>
      <c r="G18" s="389"/>
      <c r="H18" s="389"/>
      <c r="O18" s="382"/>
    </row>
    <row r="19" spans="1:15" ht="27.6" customHeight="1">
      <c r="A19" s="383">
        <f>A16+1</f>
        <v>2</v>
      </c>
      <c r="B19" s="384" t="s">
        <v>2237</v>
      </c>
      <c r="C19" s="385" t="s">
        <v>2238</v>
      </c>
      <c r="D19" s="392" t="s">
        <v>467</v>
      </c>
      <c r="E19" s="387">
        <v>17</v>
      </c>
      <c r="F19" s="388"/>
      <c r="G19" s="389">
        <f>E19*F19</f>
        <v>0</v>
      </c>
      <c r="H19" s="389"/>
      <c r="O19" s="382"/>
    </row>
    <row r="20" spans="1:15" ht="16.35" customHeight="1">
      <c r="A20" s="390"/>
      <c r="B20" s="384"/>
      <c r="C20" s="391" t="s">
        <v>2239</v>
      </c>
      <c r="D20" s="392"/>
      <c r="E20" s="393"/>
      <c r="F20" s="388"/>
      <c r="G20" s="389"/>
      <c r="H20" s="389"/>
      <c r="O20" s="382"/>
    </row>
    <row r="21" spans="1:15" ht="16.35" customHeight="1">
      <c r="A21" s="390"/>
      <c r="B21" s="384"/>
      <c r="C21" s="394">
        <v>17</v>
      </c>
      <c r="D21" s="395"/>
      <c r="E21" s="391">
        <v>17</v>
      </c>
      <c r="F21" s="388"/>
      <c r="G21" s="389"/>
      <c r="H21" s="389"/>
      <c r="O21" s="382"/>
    </row>
    <row r="22" spans="1:15" ht="26.4" customHeight="1">
      <c r="A22" s="383">
        <f>A19+1</f>
        <v>3</v>
      </c>
      <c r="B22" s="384" t="s">
        <v>2240</v>
      </c>
      <c r="C22" s="385" t="s">
        <v>2241</v>
      </c>
      <c r="D22" s="392" t="s">
        <v>467</v>
      </c>
      <c r="E22" s="387">
        <v>24</v>
      </c>
      <c r="F22" s="388"/>
      <c r="G22" s="389">
        <f>E22*F22</f>
        <v>0</v>
      </c>
      <c r="H22" s="389"/>
      <c r="O22" s="382"/>
    </row>
    <row r="23" spans="1:15" ht="16.35" customHeight="1">
      <c r="A23" s="390"/>
      <c r="B23" s="384"/>
      <c r="C23" s="394" t="s">
        <v>2236</v>
      </c>
      <c r="D23" s="395"/>
      <c r="E23" s="396"/>
      <c r="F23" s="388"/>
      <c r="G23" s="389"/>
      <c r="H23" s="389"/>
      <c r="O23" s="382"/>
    </row>
    <row r="24" spans="1:15" ht="16.35" customHeight="1">
      <c r="A24" s="390"/>
      <c r="B24" s="384"/>
      <c r="C24" s="394">
        <v>24</v>
      </c>
      <c r="D24" s="395"/>
      <c r="E24" s="391">
        <v>24</v>
      </c>
      <c r="F24" s="388"/>
      <c r="G24" s="389"/>
      <c r="H24" s="389"/>
      <c r="O24" s="382"/>
    </row>
    <row r="25" spans="1:15" ht="25.8" customHeight="1">
      <c r="A25" s="383">
        <f>A22+1</f>
        <v>4</v>
      </c>
      <c r="B25" s="384" t="s">
        <v>2242</v>
      </c>
      <c r="C25" s="385" t="s">
        <v>2243</v>
      </c>
      <c r="D25" s="392" t="s">
        <v>467</v>
      </c>
      <c r="E25" s="387">
        <v>1</v>
      </c>
      <c r="F25" s="388"/>
      <c r="G25" s="389">
        <f>E25*F25</f>
        <v>0</v>
      </c>
      <c r="H25" s="389"/>
      <c r="O25" s="382"/>
    </row>
    <row r="26" spans="1:15" ht="16.35" customHeight="1">
      <c r="A26" s="390"/>
      <c r="B26" s="384"/>
      <c r="C26" s="391" t="s">
        <v>2236</v>
      </c>
      <c r="D26" s="392"/>
      <c r="E26" s="393"/>
      <c r="F26" s="388"/>
      <c r="G26" s="389"/>
      <c r="H26" s="389"/>
      <c r="O26" s="382"/>
    </row>
    <row r="27" spans="1:15" ht="16.35" customHeight="1">
      <c r="A27" s="390"/>
      <c r="B27" s="384"/>
      <c r="C27" s="394">
        <v>1</v>
      </c>
      <c r="D27" s="395"/>
      <c r="E27" s="391">
        <v>1</v>
      </c>
      <c r="F27" s="388"/>
      <c r="G27" s="389"/>
      <c r="H27" s="397"/>
      <c r="O27" s="382"/>
    </row>
    <row r="28" spans="1:15" ht="16.35" customHeight="1">
      <c r="A28" s="390">
        <f>A25+1</f>
        <v>5</v>
      </c>
      <c r="B28" s="384" t="s">
        <v>2244</v>
      </c>
      <c r="C28" s="385" t="s">
        <v>2245</v>
      </c>
      <c r="D28" s="392" t="s">
        <v>1280</v>
      </c>
      <c r="E28" s="398">
        <f>E30</f>
        <v>17</v>
      </c>
      <c r="F28" s="388"/>
      <c r="G28" s="389">
        <f>ROUND(E28*F28,2)</f>
        <v>0</v>
      </c>
      <c r="H28" s="397"/>
      <c r="O28" s="382"/>
    </row>
    <row r="29" spans="1:15" ht="16.35" customHeight="1">
      <c r="A29" s="390"/>
      <c r="B29" s="399"/>
      <c r="C29" s="391" t="s">
        <v>2236</v>
      </c>
      <c r="D29" s="392"/>
      <c r="E29" s="400"/>
      <c r="F29" s="388"/>
      <c r="G29" s="389"/>
      <c r="H29" s="397"/>
      <c r="O29" s="382"/>
    </row>
    <row r="30" spans="1:15" ht="16.35" customHeight="1">
      <c r="A30" s="390"/>
      <c r="B30" s="399"/>
      <c r="C30" s="394">
        <v>17</v>
      </c>
      <c r="D30" s="395"/>
      <c r="E30" s="391">
        <v>17</v>
      </c>
      <c r="F30" s="388"/>
      <c r="G30" s="389"/>
      <c r="H30" s="397"/>
      <c r="O30" s="382"/>
    </row>
    <row r="31" spans="1:15" ht="16.35" customHeight="1">
      <c r="A31" s="390">
        <f>A28+1</f>
        <v>6</v>
      </c>
      <c r="B31" s="384" t="s">
        <v>2246</v>
      </c>
      <c r="C31" s="385" t="s">
        <v>2247</v>
      </c>
      <c r="D31" s="392" t="s">
        <v>1280</v>
      </c>
      <c r="E31" s="398">
        <f>E33</f>
        <v>24</v>
      </c>
      <c r="F31" s="388"/>
      <c r="G31" s="389">
        <f>ROUND(E31*F31,2)</f>
        <v>0</v>
      </c>
      <c r="H31" s="397"/>
      <c r="O31" s="382"/>
    </row>
    <row r="32" spans="1:15" ht="16.35" customHeight="1">
      <c r="A32" s="390"/>
      <c r="B32" s="399"/>
      <c r="C32" s="391" t="s">
        <v>2236</v>
      </c>
      <c r="D32" s="392"/>
      <c r="E32" s="400"/>
      <c r="F32" s="388"/>
      <c r="G32" s="389"/>
      <c r="H32" s="397"/>
      <c r="O32" s="382"/>
    </row>
    <row r="33" spans="1:15" ht="16.35" customHeight="1">
      <c r="A33" s="390"/>
      <c r="B33" s="399"/>
      <c r="C33" s="394">
        <v>24</v>
      </c>
      <c r="D33" s="395"/>
      <c r="E33" s="391">
        <v>24</v>
      </c>
      <c r="F33" s="388"/>
      <c r="G33" s="389"/>
      <c r="H33" s="397"/>
      <c r="O33" s="382"/>
    </row>
    <row r="34" spans="1:15" ht="16.35" customHeight="1">
      <c r="A34" s="390">
        <f>A31+1</f>
        <v>7</v>
      </c>
      <c r="B34" s="384" t="s">
        <v>2248</v>
      </c>
      <c r="C34" s="401" t="s">
        <v>2249</v>
      </c>
      <c r="D34" s="402" t="s">
        <v>1280</v>
      </c>
      <c r="E34" s="398">
        <f>E36</f>
        <v>1</v>
      </c>
      <c r="F34" s="388"/>
      <c r="G34" s="389">
        <f>ROUND(E34*F34,2)</f>
        <v>0</v>
      </c>
      <c r="H34" s="397"/>
      <c r="O34" s="382"/>
    </row>
    <row r="35" spans="1:15" ht="16.35" customHeight="1">
      <c r="A35" s="390"/>
      <c r="B35" s="399"/>
      <c r="C35" s="391" t="s">
        <v>2236</v>
      </c>
      <c r="D35" s="403"/>
      <c r="E35" s="400"/>
      <c r="F35" s="388"/>
      <c r="G35" s="389"/>
      <c r="H35" s="397"/>
      <c r="O35" s="382"/>
    </row>
    <row r="36" spans="1:15" ht="16.35" customHeight="1">
      <c r="A36" s="390"/>
      <c r="B36" s="399"/>
      <c r="C36" s="394">
        <v>1</v>
      </c>
      <c r="D36" s="395"/>
      <c r="E36" s="391">
        <v>1</v>
      </c>
      <c r="F36" s="388"/>
      <c r="G36" s="389"/>
      <c r="H36" s="397"/>
      <c r="O36" s="382"/>
    </row>
    <row r="37" spans="1:15" ht="16.35" customHeight="1">
      <c r="A37" s="390">
        <f>A34+1</f>
        <v>8</v>
      </c>
      <c r="B37" s="384" t="s">
        <v>2250</v>
      </c>
      <c r="C37" s="401" t="s">
        <v>2251</v>
      </c>
      <c r="D37" s="402" t="s">
        <v>324</v>
      </c>
      <c r="E37" s="398">
        <f>E39+E40+E41</f>
        <v>29.81</v>
      </c>
      <c r="F37" s="388"/>
      <c r="G37" s="389">
        <f>ROUND(E37*F37,2)</f>
        <v>0</v>
      </c>
      <c r="H37" s="397"/>
      <c r="O37" s="382"/>
    </row>
    <row r="38" spans="1:15" ht="22.8" customHeight="1">
      <c r="A38" s="404"/>
      <c r="B38" s="399"/>
      <c r="C38" s="391" t="s">
        <v>2252</v>
      </c>
      <c r="D38" s="403"/>
      <c r="E38" s="400"/>
      <c r="F38" s="388"/>
      <c r="G38" s="389"/>
      <c r="H38" s="397"/>
      <c r="O38" s="382"/>
    </row>
    <row r="39" spans="1:15" ht="16.35" customHeight="1">
      <c r="A39" s="404"/>
      <c r="B39" s="399"/>
      <c r="C39" s="391" t="s">
        <v>2253</v>
      </c>
      <c r="D39" s="391"/>
      <c r="E39" s="391">
        <v>5.385</v>
      </c>
      <c r="F39" s="388"/>
      <c r="G39" s="389"/>
      <c r="H39" s="397"/>
      <c r="O39" s="382"/>
    </row>
    <row r="40" spans="1:15" ht="16.35" customHeight="1">
      <c r="A40" s="404"/>
      <c r="B40" s="399"/>
      <c r="C40" s="391" t="s">
        <v>2254</v>
      </c>
      <c r="D40" s="391"/>
      <c r="E40" s="391">
        <v>24</v>
      </c>
      <c r="F40" s="388"/>
      <c r="G40" s="389"/>
      <c r="H40" s="397"/>
      <c r="O40" s="382"/>
    </row>
    <row r="41" spans="1:15" ht="16.35" customHeight="1">
      <c r="A41" s="404"/>
      <c r="B41" s="399"/>
      <c r="C41" s="391" t="s">
        <v>2255</v>
      </c>
      <c r="D41" s="391"/>
      <c r="E41" s="391">
        <v>0.425</v>
      </c>
      <c r="F41" s="388"/>
      <c r="G41" s="389"/>
      <c r="H41" s="397"/>
      <c r="O41" s="382"/>
    </row>
    <row r="42" spans="1:15" ht="16.35" customHeight="1">
      <c r="A42" s="390">
        <f>A37+1</f>
        <v>9</v>
      </c>
      <c r="B42" s="384" t="s">
        <v>2256</v>
      </c>
      <c r="C42" s="401" t="s">
        <v>2257</v>
      </c>
      <c r="D42" s="402" t="s">
        <v>324</v>
      </c>
      <c r="E42" s="398">
        <f>E44</f>
        <v>2.4</v>
      </c>
      <c r="F42" s="388"/>
      <c r="G42" s="389">
        <f>ROUND(E42*F42,2)</f>
        <v>0</v>
      </c>
      <c r="H42" s="397"/>
      <c r="O42" s="382"/>
    </row>
    <row r="43" spans="1:15" ht="16.35" customHeight="1">
      <c r="A43" s="390"/>
      <c r="B43" s="384"/>
      <c r="C43" s="391" t="s">
        <v>2252</v>
      </c>
      <c r="D43" s="403"/>
      <c r="E43" s="405"/>
      <c r="F43" s="388"/>
      <c r="G43" s="389"/>
      <c r="H43" s="397"/>
      <c r="O43" s="382"/>
    </row>
    <row r="44" spans="1:15" ht="16.35" customHeight="1">
      <c r="A44" s="390"/>
      <c r="B44" s="399"/>
      <c r="C44" s="391" t="s">
        <v>2258</v>
      </c>
      <c r="D44" s="391"/>
      <c r="E44" s="391">
        <v>2.4</v>
      </c>
      <c r="F44" s="388"/>
      <c r="G44" s="389"/>
      <c r="H44" s="397"/>
      <c r="O44" s="382"/>
    </row>
    <row r="45" spans="1:15" ht="16.35" customHeight="1">
      <c r="A45" s="383">
        <f>A42+1</f>
        <v>10</v>
      </c>
      <c r="B45" s="406" t="s">
        <v>2259</v>
      </c>
      <c r="C45" s="385" t="s">
        <v>2260</v>
      </c>
      <c r="D45" s="407" t="s">
        <v>324</v>
      </c>
      <c r="E45" s="408">
        <f>E47</f>
        <v>0.2</v>
      </c>
      <c r="F45" s="388"/>
      <c r="G45" s="389">
        <f>ROUND(E45*F45,2)</f>
        <v>0</v>
      </c>
      <c r="H45" s="397"/>
      <c r="O45" s="382"/>
    </row>
    <row r="46" spans="1:15" ht="16.35" customHeight="1">
      <c r="A46" s="390"/>
      <c r="B46" s="384"/>
      <c r="C46" s="391" t="s">
        <v>2252</v>
      </c>
      <c r="D46" s="392"/>
      <c r="E46" s="405"/>
      <c r="F46" s="388"/>
      <c r="G46" s="389"/>
      <c r="H46" s="397"/>
      <c r="O46" s="382"/>
    </row>
    <row r="47" spans="1:15" ht="16.35" customHeight="1">
      <c r="A47" s="390"/>
      <c r="B47" s="399"/>
      <c r="C47" s="394" t="s">
        <v>2261</v>
      </c>
      <c r="D47" s="395"/>
      <c r="E47" s="391">
        <v>0.2</v>
      </c>
      <c r="F47" s="388"/>
      <c r="G47" s="389"/>
      <c r="H47" s="397"/>
      <c r="O47" s="382"/>
    </row>
    <row r="48" spans="1:15" ht="16.35" customHeight="1">
      <c r="A48" s="383">
        <f>A45+1</f>
        <v>11</v>
      </c>
      <c r="B48" s="409" t="s">
        <v>2262</v>
      </c>
      <c r="C48" s="385" t="s">
        <v>2263</v>
      </c>
      <c r="D48" s="407" t="s">
        <v>1280</v>
      </c>
      <c r="E48" s="408">
        <f>E50</f>
        <v>17</v>
      </c>
      <c r="F48" s="388"/>
      <c r="G48" s="389">
        <f>ROUND(E48*F48,2)</f>
        <v>0</v>
      </c>
      <c r="H48" s="397"/>
      <c r="O48" s="382"/>
    </row>
    <row r="49" spans="1:15" ht="16.35" customHeight="1">
      <c r="A49" s="383"/>
      <c r="B49" s="409"/>
      <c r="C49" s="391" t="s">
        <v>2236</v>
      </c>
      <c r="D49" s="407"/>
      <c r="E49" s="408"/>
      <c r="F49" s="388"/>
      <c r="G49" s="389"/>
      <c r="H49" s="397"/>
      <c r="O49" s="382"/>
    </row>
    <row r="50" spans="1:15" ht="16.35" customHeight="1">
      <c r="A50" s="390"/>
      <c r="B50" s="399"/>
      <c r="C50" s="394">
        <v>17</v>
      </c>
      <c r="D50" s="395"/>
      <c r="E50" s="391">
        <v>17</v>
      </c>
      <c r="F50" s="388"/>
      <c r="G50" s="389"/>
      <c r="H50" s="397"/>
      <c r="O50" s="382"/>
    </row>
    <row r="51" spans="1:15" ht="16.35" customHeight="1">
      <c r="A51" s="383">
        <f>A48+1</f>
        <v>12</v>
      </c>
      <c r="B51" s="409" t="s">
        <v>2264</v>
      </c>
      <c r="C51" s="385" t="s">
        <v>2265</v>
      </c>
      <c r="D51" s="407" t="s">
        <v>1280</v>
      </c>
      <c r="E51" s="408">
        <f>E53</f>
        <v>24</v>
      </c>
      <c r="F51" s="388"/>
      <c r="G51" s="389">
        <f>ROUND(E51*F51,2)</f>
        <v>0</v>
      </c>
      <c r="H51" s="397"/>
      <c r="O51" s="382"/>
    </row>
    <row r="52" spans="1:15" ht="16.35" customHeight="1">
      <c r="A52" s="383"/>
      <c r="B52" s="409"/>
      <c r="C52" s="391" t="s">
        <v>2236</v>
      </c>
      <c r="D52" s="407"/>
      <c r="E52" s="408"/>
      <c r="F52" s="388"/>
      <c r="G52" s="389"/>
      <c r="H52" s="397"/>
      <c r="O52" s="382"/>
    </row>
    <row r="53" spans="1:15" ht="16.35" customHeight="1">
      <c r="A53" s="390"/>
      <c r="B53" s="399"/>
      <c r="C53" s="394">
        <v>24</v>
      </c>
      <c r="D53" s="395"/>
      <c r="E53" s="391">
        <v>24</v>
      </c>
      <c r="F53" s="388"/>
      <c r="G53" s="389"/>
      <c r="H53" s="397"/>
      <c r="O53" s="382"/>
    </row>
    <row r="54" spans="1:15" ht="16.35" customHeight="1">
      <c r="A54" s="383">
        <f>A51+1</f>
        <v>13</v>
      </c>
      <c r="B54" s="406" t="s">
        <v>2266</v>
      </c>
      <c r="C54" s="385" t="s">
        <v>2267</v>
      </c>
      <c r="D54" s="407" t="s">
        <v>1280</v>
      </c>
      <c r="E54" s="408">
        <f>E56</f>
        <v>1</v>
      </c>
      <c r="F54" s="388"/>
      <c r="G54" s="389">
        <f>ROUND(E54*F54,2)</f>
        <v>0</v>
      </c>
      <c r="H54" s="397"/>
      <c r="O54" s="382"/>
    </row>
    <row r="55" spans="1:15" ht="16.35" customHeight="1">
      <c r="A55" s="383"/>
      <c r="B55" s="406"/>
      <c r="C55" s="391" t="s">
        <v>2236</v>
      </c>
      <c r="D55" s="407"/>
      <c r="E55" s="408"/>
      <c r="F55" s="388"/>
      <c r="G55" s="389"/>
      <c r="H55" s="397"/>
      <c r="O55" s="382"/>
    </row>
    <row r="56" spans="1:15" ht="16.35" customHeight="1">
      <c r="A56" s="390"/>
      <c r="B56" s="399"/>
      <c r="C56" s="394">
        <v>1</v>
      </c>
      <c r="D56" s="395"/>
      <c r="E56" s="391">
        <v>1</v>
      </c>
      <c r="F56" s="388"/>
      <c r="G56" s="389"/>
      <c r="H56" s="397"/>
      <c r="O56" s="382"/>
    </row>
    <row r="57" spans="1:15" ht="29.4" customHeight="1">
      <c r="A57" s="383">
        <f>A54+1</f>
        <v>14</v>
      </c>
      <c r="B57" s="406" t="s">
        <v>2268</v>
      </c>
      <c r="C57" s="385" t="s">
        <v>2269</v>
      </c>
      <c r="D57" s="407" t="s">
        <v>324</v>
      </c>
      <c r="E57" s="408">
        <f>E58</f>
        <v>201</v>
      </c>
      <c r="F57" s="388"/>
      <c r="G57" s="389">
        <f>E57*F57</f>
        <v>0</v>
      </c>
      <c r="H57" s="410"/>
      <c r="O57" s="382"/>
    </row>
    <row r="58" spans="1:15" ht="16.35" customHeight="1">
      <c r="A58" s="390"/>
      <c r="B58" s="411"/>
      <c r="C58" s="412" t="s">
        <v>2270</v>
      </c>
      <c r="D58" s="407"/>
      <c r="E58" s="413">
        <v>201</v>
      </c>
      <c r="F58" s="388"/>
      <c r="G58" s="389"/>
      <c r="H58" s="410"/>
      <c r="O58" s="382"/>
    </row>
    <row r="59" spans="1:15" ht="16.8" customHeight="1">
      <c r="A59" s="414">
        <f>A57+1</f>
        <v>15</v>
      </c>
      <c r="B59" s="411" t="s">
        <v>2271</v>
      </c>
      <c r="C59" s="411" t="s">
        <v>2272</v>
      </c>
      <c r="D59" s="407" t="s">
        <v>324</v>
      </c>
      <c r="E59" s="415">
        <f>E60</f>
        <v>148.5</v>
      </c>
      <c r="F59" s="388"/>
      <c r="G59" s="389">
        <f>E59*F59</f>
        <v>0</v>
      </c>
      <c r="H59" s="410"/>
      <c r="O59" s="382"/>
    </row>
    <row r="60" spans="1:15" ht="16.35" customHeight="1">
      <c r="A60" s="390"/>
      <c r="B60" s="411"/>
      <c r="C60" s="412" t="s">
        <v>2270</v>
      </c>
      <c r="D60" s="407"/>
      <c r="E60" s="413">
        <v>148.5</v>
      </c>
      <c r="F60" s="388"/>
      <c r="G60" s="389"/>
      <c r="H60" s="410"/>
      <c r="O60" s="382"/>
    </row>
    <row r="61" spans="1:15" ht="16.35" customHeight="1">
      <c r="A61" s="383">
        <f>A59+1</f>
        <v>16</v>
      </c>
      <c r="B61" s="384" t="s">
        <v>2273</v>
      </c>
      <c r="C61" s="406" t="s">
        <v>2274</v>
      </c>
      <c r="D61" s="416" t="s">
        <v>324</v>
      </c>
      <c r="E61" s="415">
        <f>E62</f>
        <v>148.5</v>
      </c>
      <c r="F61" s="388"/>
      <c r="G61" s="389">
        <f>E61*F61</f>
        <v>0</v>
      </c>
      <c r="H61" s="410"/>
      <c r="O61" s="382"/>
    </row>
    <row r="62" spans="1:15" ht="16.35" customHeight="1">
      <c r="A62" s="390"/>
      <c r="B62" s="399"/>
      <c r="C62" s="412" t="s">
        <v>2270</v>
      </c>
      <c r="D62" s="417"/>
      <c r="E62" s="413">
        <v>148.5</v>
      </c>
      <c r="F62" s="388"/>
      <c r="G62" s="389"/>
      <c r="H62" s="410"/>
      <c r="O62" s="382"/>
    </row>
    <row r="63" spans="1:15" ht="16.35" customHeight="1">
      <c r="A63" s="383">
        <f>A61+1</f>
        <v>17</v>
      </c>
      <c r="B63" s="384" t="s">
        <v>2275</v>
      </c>
      <c r="C63" s="406" t="s">
        <v>2276</v>
      </c>
      <c r="D63" s="416" t="s">
        <v>324</v>
      </c>
      <c r="E63" s="418">
        <f>E64</f>
        <v>201</v>
      </c>
      <c r="F63" s="388"/>
      <c r="G63" s="389">
        <f>E63*F63</f>
        <v>0</v>
      </c>
      <c r="H63" s="410"/>
      <c r="O63" s="382"/>
    </row>
    <row r="64" spans="1:15" ht="16.35" customHeight="1">
      <c r="A64" s="390"/>
      <c r="B64" s="399"/>
      <c r="C64" s="412" t="s">
        <v>2270</v>
      </c>
      <c r="D64" s="417"/>
      <c r="E64" s="413">
        <v>201</v>
      </c>
      <c r="F64" s="388"/>
      <c r="G64" s="389"/>
      <c r="H64" s="410"/>
      <c r="O64" s="382"/>
    </row>
    <row r="65" spans="1:15" ht="16.35" customHeight="1">
      <c r="A65" s="419">
        <f>A63+1</f>
        <v>18</v>
      </c>
      <c r="B65" s="384" t="s">
        <v>2277</v>
      </c>
      <c r="C65" s="420" t="s">
        <v>2278</v>
      </c>
      <c r="D65" s="417" t="s">
        <v>246</v>
      </c>
      <c r="E65" s="421">
        <f>E66+E67</f>
        <v>1157</v>
      </c>
      <c r="F65" s="388"/>
      <c r="G65" s="389">
        <f>E65*F65</f>
        <v>0</v>
      </c>
      <c r="H65" s="422"/>
      <c r="O65" s="382"/>
    </row>
    <row r="66" spans="1:15" ht="16.35" customHeight="1">
      <c r="A66" s="419"/>
      <c r="B66" s="423"/>
      <c r="C66" s="412" t="s">
        <v>2279</v>
      </c>
      <c r="D66" s="392"/>
      <c r="E66" s="413">
        <v>67</v>
      </c>
      <c r="F66" s="388"/>
      <c r="G66" s="389"/>
      <c r="H66" s="422"/>
      <c r="O66" s="382"/>
    </row>
    <row r="67" spans="1:15" ht="16.35" customHeight="1">
      <c r="A67" s="419"/>
      <c r="B67" s="423"/>
      <c r="C67" s="412" t="s">
        <v>2280</v>
      </c>
      <c r="D67" s="419"/>
      <c r="E67" s="413">
        <v>1090</v>
      </c>
      <c r="F67" s="388"/>
      <c r="G67" s="389"/>
      <c r="H67" s="422"/>
      <c r="O67" s="382"/>
    </row>
    <row r="68" spans="1:15" ht="16.35" customHeight="1">
      <c r="A68" s="419">
        <f>A65+1</f>
        <v>19</v>
      </c>
      <c r="B68" s="384" t="s">
        <v>2281</v>
      </c>
      <c r="C68" s="420" t="s">
        <v>2282</v>
      </c>
      <c r="D68" s="417" t="s">
        <v>246</v>
      </c>
      <c r="E68" s="421">
        <f>E69+E70+E71</f>
        <v>653</v>
      </c>
      <c r="F68" s="388"/>
      <c r="G68" s="389">
        <f>E68*F68</f>
        <v>0</v>
      </c>
      <c r="H68" s="422"/>
      <c r="O68" s="382"/>
    </row>
    <row r="69" spans="1:15" ht="16.35" customHeight="1">
      <c r="A69" s="419"/>
      <c r="B69" s="423"/>
      <c r="C69" s="412" t="s">
        <v>2279</v>
      </c>
      <c r="D69" s="392"/>
      <c r="E69" s="413">
        <v>393</v>
      </c>
      <c r="F69" s="388"/>
      <c r="G69" s="389"/>
      <c r="H69" s="422"/>
      <c r="O69" s="382"/>
    </row>
    <row r="70" spans="1:15" ht="16.35" customHeight="1">
      <c r="A70" s="419"/>
      <c r="B70" s="423"/>
      <c r="C70" s="412" t="s">
        <v>2283</v>
      </c>
      <c r="D70" s="392"/>
      <c r="E70" s="413">
        <v>60</v>
      </c>
      <c r="F70" s="388"/>
      <c r="G70" s="389"/>
      <c r="H70" s="422"/>
      <c r="O70" s="382"/>
    </row>
    <row r="71" spans="1:15" ht="16.35" customHeight="1">
      <c r="A71" s="419"/>
      <c r="B71" s="423"/>
      <c r="C71" s="412" t="s">
        <v>2280</v>
      </c>
      <c r="D71" s="419"/>
      <c r="E71" s="412">
        <v>200</v>
      </c>
      <c r="F71" s="424"/>
      <c r="G71" s="425"/>
      <c r="H71" s="425"/>
      <c r="O71" s="382"/>
    </row>
    <row r="72" spans="1:15" ht="16.35" customHeight="1">
      <c r="A72" s="419">
        <f>A68+1</f>
        <v>20</v>
      </c>
      <c r="B72" s="384" t="s">
        <v>2284</v>
      </c>
      <c r="C72" s="411" t="s">
        <v>2285</v>
      </c>
      <c r="D72" s="392" t="s">
        <v>246</v>
      </c>
      <c r="E72" s="388">
        <f>E73</f>
        <v>1090</v>
      </c>
      <c r="F72" s="388"/>
      <c r="G72" s="389">
        <f>E72*F72</f>
        <v>0</v>
      </c>
      <c r="H72" s="425"/>
      <c r="O72" s="382"/>
    </row>
    <row r="73" spans="1:15" ht="16.35" customHeight="1">
      <c r="A73" s="390"/>
      <c r="B73" s="384"/>
      <c r="C73" s="412" t="s">
        <v>2280</v>
      </c>
      <c r="D73" s="419"/>
      <c r="E73" s="412">
        <v>1090</v>
      </c>
      <c r="F73" s="388"/>
      <c r="G73" s="389"/>
      <c r="H73" s="425"/>
      <c r="O73" s="382"/>
    </row>
    <row r="74" spans="1:15" ht="16.35" customHeight="1">
      <c r="A74" s="419">
        <f>A72+1</f>
        <v>21</v>
      </c>
      <c r="B74" s="384" t="s">
        <v>2286</v>
      </c>
      <c r="C74" s="411" t="s">
        <v>2287</v>
      </c>
      <c r="D74" s="392" t="s">
        <v>246</v>
      </c>
      <c r="E74" s="388">
        <f>E75</f>
        <v>200</v>
      </c>
      <c r="F74" s="388"/>
      <c r="G74" s="389">
        <f>E74*F74</f>
        <v>0</v>
      </c>
      <c r="H74" s="425"/>
      <c r="O74" s="382"/>
    </row>
    <row r="75" spans="1:15" ht="16.35" customHeight="1">
      <c r="A75" s="419"/>
      <c r="B75" s="384"/>
      <c r="C75" s="412" t="s">
        <v>2280</v>
      </c>
      <c r="D75" s="419"/>
      <c r="E75" s="412">
        <v>200</v>
      </c>
      <c r="F75" s="388"/>
      <c r="G75" s="389"/>
      <c r="H75" s="425"/>
      <c r="O75" s="382"/>
    </row>
    <row r="76" spans="1:15" ht="16.35" customHeight="1">
      <c r="A76" s="419">
        <f>A74+1</f>
        <v>22</v>
      </c>
      <c r="B76" s="384" t="s">
        <v>2288</v>
      </c>
      <c r="C76" s="411" t="s">
        <v>2289</v>
      </c>
      <c r="D76" s="392" t="s">
        <v>246</v>
      </c>
      <c r="E76" s="388">
        <f>E77</f>
        <v>67</v>
      </c>
      <c r="F76" s="388"/>
      <c r="G76" s="389">
        <f>E76*F76</f>
        <v>0</v>
      </c>
      <c r="H76" s="389"/>
      <c r="O76" s="382"/>
    </row>
    <row r="77" spans="1:15" ht="16.35" customHeight="1">
      <c r="A77" s="419"/>
      <c r="B77" s="399"/>
      <c r="C77" s="412" t="s">
        <v>2279</v>
      </c>
      <c r="D77" s="392"/>
      <c r="E77" s="412">
        <v>67</v>
      </c>
      <c r="F77" s="388"/>
      <c r="G77" s="389">
        <f>E77*F77</f>
        <v>0</v>
      </c>
      <c r="H77" s="389"/>
      <c r="O77" s="382"/>
    </row>
    <row r="78" spans="1:15" ht="16.35" customHeight="1">
      <c r="A78" s="419">
        <f>A76+1</f>
        <v>23</v>
      </c>
      <c r="B78" s="384" t="s">
        <v>2290</v>
      </c>
      <c r="C78" s="411" t="s">
        <v>2291</v>
      </c>
      <c r="D78" s="392" t="s">
        <v>246</v>
      </c>
      <c r="E78" s="388">
        <f>E79+E80</f>
        <v>453</v>
      </c>
      <c r="F78" s="388"/>
      <c r="G78" s="389">
        <f>E78*F78</f>
        <v>0</v>
      </c>
      <c r="H78" s="389"/>
      <c r="O78" s="382"/>
    </row>
    <row r="79" spans="1:15" ht="16.35" customHeight="1">
      <c r="A79" s="390"/>
      <c r="B79" s="399"/>
      <c r="C79" s="412" t="s">
        <v>2279</v>
      </c>
      <c r="D79" s="392"/>
      <c r="E79" s="412">
        <v>393</v>
      </c>
      <c r="F79" s="388"/>
      <c r="G79" s="389">
        <f>E79*F79</f>
        <v>0</v>
      </c>
      <c r="H79" s="389"/>
      <c r="O79" s="382"/>
    </row>
    <row r="80" spans="1:15" ht="16.35" customHeight="1">
      <c r="A80" s="390"/>
      <c r="B80" s="399"/>
      <c r="C80" s="412" t="s">
        <v>2283</v>
      </c>
      <c r="D80" s="392"/>
      <c r="E80" s="412">
        <v>60</v>
      </c>
      <c r="F80" s="388"/>
      <c r="G80" s="389"/>
      <c r="H80" s="389"/>
      <c r="O80" s="382"/>
    </row>
    <row r="81" spans="1:104" ht="12">
      <c r="A81" s="390">
        <f>A78+1</f>
        <v>24</v>
      </c>
      <c r="B81" s="399" t="s">
        <v>2292</v>
      </c>
      <c r="C81" s="411" t="s">
        <v>2293</v>
      </c>
      <c r="D81" s="392" t="s">
        <v>246</v>
      </c>
      <c r="E81" s="426">
        <f>E82+E83</f>
        <v>1157</v>
      </c>
      <c r="F81" s="388"/>
      <c r="G81" s="389">
        <f aca="true" t="shared" si="0" ref="G81:G89">E81*F81</f>
        <v>0</v>
      </c>
      <c r="H81" s="389"/>
      <c r="O81" s="382">
        <v>2</v>
      </c>
      <c r="AA81" s="337">
        <v>1</v>
      </c>
      <c r="AB81" s="337">
        <v>1</v>
      </c>
      <c r="AC81" s="337">
        <v>1</v>
      </c>
      <c r="AZ81" s="337">
        <v>1</v>
      </c>
      <c r="BA81" s="337" t="e">
        <f>IF(AZ81=1,#REF!,0)</f>
        <v>#REF!</v>
      </c>
      <c r="BB81" s="337">
        <f>IF(AZ81=2,#REF!,0)</f>
        <v>0</v>
      </c>
      <c r="BC81" s="337">
        <f>IF(AZ81=3,#REF!,0)</f>
        <v>0</v>
      </c>
      <c r="BD81" s="337">
        <f>IF(AZ81=4,#REF!,0)</f>
        <v>0</v>
      </c>
      <c r="BE81" s="337">
        <f>IF(AZ81=5,#REF!,0)</f>
        <v>0</v>
      </c>
      <c r="CZ81" s="337">
        <v>0</v>
      </c>
    </row>
    <row r="82" spans="1:15" ht="12">
      <c r="A82" s="390"/>
      <c r="B82" s="399"/>
      <c r="C82" s="412" t="s">
        <v>2279</v>
      </c>
      <c r="D82" s="392"/>
      <c r="E82" s="412">
        <v>67</v>
      </c>
      <c r="F82" s="388"/>
      <c r="G82" s="389">
        <f t="shared" si="0"/>
        <v>0</v>
      </c>
      <c r="H82" s="389"/>
      <c r="O82" s="382"/>
    </row>
    <row r="83" spans="1:15" ht="12">
      <c r="A83" s="390"/>
      <c r="B83" s="399"/>
      <c r="C83" s="412" t="s">
        <v>2280</v>
      </c>
      <c r="D83" s="419"/>
      <c r="E83" s="412">
        <v>1090</v>
      </c>
      <c r="F83" s="388"/>
      <c r="G83" s="389">
        <f t="shared" si="0"/>
        <v>0</v>
      </c>
      <c r="H83" s="389"/>
      <c r="O83" s="382"/>
    </row>
    <row r="84" spans="1:15" ht="12">
      <c r="A84" s="390">
        <f>A81+1</f>
        <v>25</v>
      </c>
      <c r="B84" s="399" t="s">
        <v>2294</v>
      </c>
      <c r="C84" s="411" t="s">
        <v>2295</v>
      </c>
      <c r="D84" s="392" t="s">
        <v>246</v>
      </c>
      <c r="E84" s="426">
        <f>E85+E86+E87</f>
        <v>1165</v>
      </c>
      <c r="F84" s="388"/>
      <c r="G84" s="389">
        <f>E84*F84</f>
        <v>0</v>
      </c>
      <c r="H84" s="389"/>
      <c r="O84" s="382"/>
    </row>
    <row r="85" spans="1:15" ht="12">
      <c r="A85" s="390"/>
      <c r="B85" s="399"/>
      <c r="C85" s="412" t="s">
        <v>2279</v>
      </c>
      <c r="D85" s="392"/>
      <c r="E85" s="412">
        <v>905</v>
      </c>
      <c r="F85" s="388"/>
      <c r="G85" s="389">
        <f>E85*F85</f>
        <v>0</v>
      </c>
      <c r="H85" s="389"/>
      <c r="O85" s="382"/>
    </row>
    <row r="86" spans="1:15" ht="12">
      <c r="A86" s="390"/>
      <c r="B86" s="399"/>
      <c r="C86" s="412" t="s">
        <v>2283</v>
      </c>
      <c r="D86" s="392"/>
      <c r="E86" s="412">
        <v>60</v>
      </c>
      <c r="F86" s="388"/>
      <c r="G86" s="389"/>
      <c r="H86" s="389"/>
      <c r="O86" s="382"/>
    </row>
    <row r="87" spans="1:15" ht="12">
      <c r="A87" s="390"/>
      <c r="B87" s="399"/>
      <c r="C87" s="412" t="s">
        <v>2280</v>
      </c>
      <c r="D87" s="419"/>
      <c r="E87" s="412">
        <v>200</v>
      </c>
      <c r="F87" s="388"/>
      <c r="G87" s="389">
        <f>E87*F87</f>
        <v>0</v>
      </c>
      <c r="H87" s="389"/>
      <c r="O87" s="382"/>
    </row>
    <row r="88" spans="1:15" ht="12">
      <c r="A88" s="390">
        <f>A84+1</f>
        <v>26</v>
      </c>
      <c r="B88" s="399" t="s">
        <v>2296</v>
      </c>
      <c r="C88" s="411" t="s">
        <v>2297</v>
      </c>
      <c r="D88" s="392" t="s">
        <v>246</v>
      </c>
      <c r="E88" s="426">
        <f>E89+E90</f>
        <v>1157</v>
      </c>
      <c r="F88" s="388"/>
      <c r="G88" s="389">
        <f t="shared" si="0"/>
        <v>0</v>
      </c>
      <c r="H88" s="389"/>
      <c r="O88" s="382"/>
    </row>
    <row r="89" spans="1:15" ht="12">
      <c r="A89" s="390"/>
      <c r="B89" s="399"/>
      <c r="C89" s="412" t="s">
        <v>2279</v>
      </c>
      <c r="D89" s="392"/>
      <c r="E89" s="412">
        <v>67</v>
      </c>
      <c r="F89" s="388"/>
      <c r="G89" s="389">
        <f t="shared" si="0"/>
        <v>0</v>
      </c>
      <c r="H89" s="389"/>
      <c r="O89" s="382"/>
    </row>
    <row r="90" spans="1:15" ht="12">
      <c r="A90" s="390"/>
      <c r="B90" s="399"/>
      <c r="C90" s="412" t="s">
        <v>2280</v>
      </c>
      <c r="D90" s="419"/>
      <c r="E90" s="412">
        <v>1090</v>
      </c>
      <c r="F90" s="388"/>
      <c r="G90" s="389"/>
      <c r="H90" s="389"/>
      <c r="O90" s="382"/>
    </row>
    <row r="91" spans="1:15" ht="12">
      <c r="A91" s="390">
        <f>A88+1</f>
        <v>27</v>
      </c>
      <c r="B91" s="399" t="s">
        <v>2298</v>
      </c>
      <c r="C91" s="411" t="s">
        <v>2299</v>
      </c>
      <c r="D91" s="392" t="s">
        <v>246</v>
      </c>
      <c r="E91" s="426">
        <f>E92+E93+E94</f>
        <v>1165</v>
      </c>
      <c r="F91" s="388"/>
      <c r="G91" s="389">
        <f>E91*F91</f>
        <v>0</v>
      </c>
      <c r="H91" s="389"/>
      <c r="O91" s="382"/>
    </row>
    <row r="92" spans="1:15" ht="12">
      <c r="A92" s="425"/>
      <c r="B92" s="399"/>
      <c r="C92" s="412" t="s">
        <v>2279</v>
      </c>
      <c r="D92" s="392"/>
      <c r="E92" s="412">
        <v>905</v>
      </c>
      <c r="F92" s="388"/>
      <c r="G92" s="389">
        <f>E92*F92</f>
        <v>0</v>
      </c>
      <c r="H92" s="389"/>
      <c r="O92" s="382"/>
    </row>
    <row r="93" spans="1:15" ht="12">
      <c r="A93" s="425"/>
      <c r="B93" s="399"/>
      <c r="C93" s="412" t="s">
        <v>2283</v>
      </c>
      <c r="D93" s="392"/>
      <c r="E93" s="412">
        <v>60</v>
      </c>
      <c r="F93" s="388"/>
      <c r="G93" s="389"/>
      <c r="H93" s="389"/>
      <c r="O93" s="382"/>
    </row>
    <row r="94" spans="1:15" ht="12">
      <c r="A94" s="425"/>
      <c r="B94" s="399"/>
      <c r="C94" s="412" t="s">
        <v>2280</v>
      </c>
      <c r="D94" s="419"/>
      <c r="E94" s="412">
        <v>200</v>
      </c>
      <c r="F94" s="388"/>
      <c r="G94" s="389"/>
      <c r="H94" s="389"/>
      <c r="O94" s="382"/>
    </row>
    <row r="95" spans="1:15" ht="12">
      <c r="A95" s="390">
        <f>A88+1</f>
        <v>27</v>
      </c>
      <c r="B95" s="399" t="s">
        <v>2268</v>
      </c>
      <c r="C95" s="411" t="s">
        <v>2300</v>
      </c>
      <c r="D95" s="392" t="s">
        <v>246</v>
      </c>
      <c r="E95" s="388">
        <f>E96+E97+E98</f>
        <v>4764</v>
      </c>
      <c r="F95" s="388"/>
      <c r="G95" s="389">
        <f>E95*F95</f>
        <v>0</v>
      </c>
      <c r="H95" s="389"/>
      <c r="O95" s="382"/>
    </row>
    <row r="96" spans="1:15" ht="12">
      <c r="A96" s="390"/>
      <c r="B96" s="399"/>
      <c r="C96" s="412" t="s">
        <v>2301</v>
      </c>
      <c r="D96" s="392"/>
      <c r="E96" s="412">
        <v>2064</v>
      </c>
      <c r="F96" s="388"/>
      <c r="G96" s="389"/>
      <c r="H96" s="389"/>
      <c r="O96" s="382"/>
    </row>
    <row r="97" spans="1:15" ht="12">
      <c r="A97" s="390"/>
      <c r="B97" s="399"/>
      <c r="C97" s="412" t="s">
        <v>2302</v>
      </c>
      <c r="D97" s="392"/>
      <c r="E97" s="412">
        <v>120</v>
      </c>
      <c r="F97" s="388"/>
      <c r="G97" s="389"/>
      <c r="H97" s="389"/>
      <c r="O97" s="382"/>
    </row>
    <row r="98" spans="1:15" ht="12">
      <c r="A98" s="390"/>
      <c r="B98" s="399"/>
      <c r="C98" s="412" t="s">
        <v>2303</v>
      </c>
      <c r="D98" s="419"/>
      <c r="E98" s="412">
        <v>2580</v>
      </c>
      <c r="F98" s="388"/>
      <c r="G98" s="389"/>
      <c r="H98" s="389"/>
      <c r="O98" s="382"/>
    </row>
    <row r="99" spans="1:15" ht="12">
      <c r="A99" s="390">
        <f>A95+1</f>
        <v>28</v>
      </c>
      <c r="B99" s="399" t="s">
        <v>2304</v>
      </c>
      <c r="C99" s="411" t="s">
        <v>2305</v>
      </c>
      <c r="D99" s="392" t="s">
        <v>246</v>
      </c>
      <c r="E99" s="388">
        <f>E100</f>
        <v>1090</v>
      </c>
      <c r="F99" s="388"/>
      <c r="G99" s="389">
        <f>E99*F99</f>
        <v>0</v>
      </c>
      <c r="H99" s="389"/>
      <c r="O99" s="382"/>
    </row>
    <row r="100" spans="1:15" ht="12">
      <c r="A100" s="390"/>
      <c r="B100" s="399"/>
      <c r="C100" s="412" t="s">
        <v>2280</v>
      </c>
      <c r="D100" s="419"/>
      <c r="E100" s="412">
        <v>1090</v>
      </c>
      <c r="F100" s="388"/>
      <c r="G100" s="389"/>
      <c r="H100" s="389"/>
      <c r="O100" s="382"/>
    </row>
    <row r="101" spans="1:15" ht="12">
      <c r="A101" s="390">
        <f>A99+1</f>
        <v>29</v>
      </c>
      <c r="B101" s="399" t="s">
        <v>2306</v>
      </c>
      <c r="C101" s="411" t="s">
        <v>2307</v>
      </c>
      <c r="D101" s="392" t="s">
        <v>246</v>
      </c>
      <c r="E101" s="388">
        <f>E102</f>
        <v>200</v>
      </c>
      <c r="F101" s="388"/>
      <c r="G101" s="389">
        <f>E101*F101</f>
        <v>0</v>
      </c>
      <c r="H101" s="389"/>
      <c r="O101" s="382"/>
    </row>
    <row r="102" spans="1:15" ht="12">
      <c r="A102" s="390"/>
      <c r="B102" s="399"/>
      <c r="C102" s="412" t="s">
        <v>2280</v>
      </c>
      <c r="D102" s="419"/>
      <c r="E102" s="412">
        <v>200</v>
      </c>
      <c r="F102" s="388"/>
      <c r="G102" s="389"/>
      <c r="H102" s="389"/>
      <c r="O102" s="382"/>
    </row>
    <row r="103" spans="1:104" ht="12">
      <c r="A103" s="390">
        <f>A101+1</f>
        <v>30</v>
      </c>
      <c r="B103" s="399" t="s">
        <v>2308</v>
      </c>
      <c r="C103" s="411" t="s">
        <v>2309</v>
      </c>
      <c r="D103" s="392" t="s">
        <v>467</v>
      </c>
      <c r="E103" s="388">
        <f>E104</f>
        <v>174</v>
      </c>
      <c r="F103" s="388"/>
      <c r="G103" s="389">
        <f>E103*F103</f>
        <v>0</v>
      </c>
      <c r="H103" s="389"/>
      <c r="O103" s="382">
        <v>2</v>
      </c>
      <c r="AA103" s="337">
        <v>1</v>
      </c>
      <c r="AB103" s="337">
        <v>1</v>
      </c>
      <c r="AC103" s="337">
        <v>1</v>
      </c>
      <c r="AZ103" s="337">
        <v>1</v>
      </c>
      <c r="BA103" s="337" t="e">
        <f>IF(AZ103=1,#REF!,0)</f>
        <v>#REF!</v>
      </c>
      <c r="BB103" s="337">
        <f>IF(AZ103=2,#REF!,0)</f>
        <v>0</v>
      </c>
      <c r="BC103" s="337">
        <f>IF(AZ103=3,#REF!,0)</f>
        <v>0</v>
      </c>
      <c r="BD103" s="337">
        <f>IF(AZ103=4,#REF!,0)</f>
        <v>0</v>
      </c>
      <c r="BE103" s="337">
        <f>IF(AZ103=5,#REF!,0)</f>
        <v>0</v>
      </c>
      <c r="CZ103" s="337">
        <v>0</v>
      </c>
    </row>
    <row r="104" spans="1:15" ht="12">
      <c r="A104" s="390"/>
      <c r="B104" s="399"/>
      <c r="C104" s="412" t="s">
        <v>2310</v>
      </c>
      <c r="D104" s="392"/>
      <c r="E104" s="412">
        <v>174</v>
      </c>
      <c r="F104" s="388"/>
      <c r="G104" s="389">
        <f>E104*F104</f>
        <v>0</v>
      </c>
      <c r="H104" s="389"/>
      <c r="O104" s="382"/>
    </row>
    <row r="105" spans="1:15" ht="12">
      <c r="A105" s="390">
        <f>A103+1</f>
        <v>31</v>
      </c>
      <c r="B105" s="399" t="s">
        <v>2311</v>
      </c>
      <c r="C105" s="411" t="s">
        <v>2312</v>
      </c>
      <c r="D105" s="392" t="s">
        <v>467</v>
      </c>
      <c r="E105" s="388">
        <f>E106+E107</f>
        <v>2136</v>
      </c>
      <c r="F105" s="388"/>
      <c r="G105" s="389">
        <f>E105*F105</f>
        <v>0</v>
      </c>
      <c r="H105" s="389"/>
      <c r="O105" s="382"/>
    </row>
    <row r="106" spans="2:15" ht="12">
      <c r="B106" s="399"/>
      <c r="C106" s="412" t="s">
        <v>2310</v>
      </c>
      <c r="D106" s="392"/>
      <c r="E106" s="412">
        <v>2106</v>
      </c>
      <c r="F106" s="388"/>
      <c r="G106" s="389">
        <f>E106*F106</f>
        <v>0</v>
      </c>
      <c r="H106" s="389"/>
      <c r="O106" s="382"/>
    </row>
    <row r="107" spans="2:15" ht="12">
      <c r="B107" s="399"/>
      <c r="C107" s="412" t="s">
        <v>2313</v>
      </c>
      <c r="D107" s="392"/>
      <c r="E107" s="412">
        <v>30</v>
      </c>
      <c r="F107" s="388"/>
      <c r="G107" s="389"/>
      <c r="H107" s="389"/>
      <c r="O107" s="382"/>
    </row>
    <row r="108" spans="1:15" ht="12">
      <c r="A108" s="390">
        <f>A105+1</f>
        <v>32</v>
      </c>
      <c r="B108" s="399" t="s">
        <v>2314</v>
      </c>
      <c r="C108" s="411" t="s">
        <v>2315</v>
      </c>
      <c r="D108" s="392" t="s">
        <v>467</v>
      </c>
      <c r="E108" s="388">
        <f>E109</f>
        <v>38</v>
      </c>
      <c r="F108" s="388"/>
      <c r="G108" s="389">
        <f>E108*F108</f>
        <v>0</v>
      </c>
      <c r="H108" s="389"/>
      <c r="O108" s="382"/>
    </row>
    <row r="109" spans="1:15" ht="12">
      <c r="A109" s="390"/>
      <c r="B109" s="399"/>
      <c r="C109" s="412" t="s">
        <v>2316</v>
      </c>
      <c r="D109" s="392"/>
      <c r="E109" s="412">
        <v>38</v>
      </c>
      <c r="F109" s="388"/>
      <c r="G109" s="389">
        <f>E109*F109</f>
        <v>0</v>
      </c>
      <c r="H109" s="389"/>
      <c r="O109" s="382"/>
    </row>
    <row r="110" spans="1:15" ht="12">
      <c r="A110" s="390">
        <f>A108+1</f>
        <v>33</v>
      </c>
      <c r="B110" s="399" t="s">
        <v>2317</v>
      </c>
      <c r="C110" s="411" t="s">
        <v>2318</v>
      </c>
      <c r="D110" s="392" t="s">
        <v>467</v>
      </c>
      <c r="E110" s="388">
        <f>E111</f>
        <v>5</v>
      </c>
      <c r="F110" s="388"/>
      <c r="G110" s="389">
        <f>E110*F110</f>
        <v>0</v>
      </c>
      <c r="H110" s="389"/>
      <c r="O110" s="382"/>
    </row>
    <row r="111" spans="1:15" ht="12">
      <c r="A111" s="390"/>
      <c r="B111" s="399"/>
      <c r="C111" s="412" t="s">
        <v>2316</v>
      </c>
      <c r="D111" s="392"/>
      <c r="E111" s="412">
        <v>5</v>
      </c>
      <c r="F111" s="388"/>
      <c r="G111" s="389">
        <f>E111*F111</f>
        <v>0</v>
      </c>
      <c r="H111" s="389"/>
      <c r="O111" s="382"/>
    </row>
    <row r="112" spans="1:104" ht="12">
      <c r="A112" s="390">
        <f aca="true" t="shared" si="1" ref="A112:A120">A110+1</f>
        <v>34</v>
      </c>
      <c r="B112" s="399" t="s">
        <v>2319</v>
      </c>
      <c r="C112" s="411" t="s">
        <v>2320</v>
      </c>
      <c r="D112" s="392" t="s">
        <v>467</v>
      </c>
      <c r="E112" s="388">
        <f>E113</f>
        <v>174</v>
      </c>
      <c r="F112" s="388"/>
      <c r="G112" s="389">
        <f>E112*F112</f>
        <v>0</v>
      </c>
      <c r="H112" s="389"/>
      <c r="O112" s="382">
        <v>2</v>
      </c>
      <c r="AA112" s="337">
        <v>1</v>
      </c>
      <c r="AB112" s="337">
        <v>1</v>
      </c>
      <c r="AC112" s="337">
        <v>1</v>
      </c>
      <c r="AZ112" s="337">
        <v>1</v>
      </c>
      <c r="BA112" s="337" t="e">
        <f>IF(AZ112=1,#REF!,0)</f>
        <v>#REF!</v>
      </c>
      <c r="BB112" s="337">
        <f>IF(AZ112=2,#REF!,0)</f>
        <v>0</v>
      </c>
      <c r="BC112" s="337">
        <f>IF(AZ112=3,#REF!,0)</f>
        <v>0</v>
      </c>
      <c r="BD112" s="337">
        <f>IF(AZ112=4,#REF!,0)</f>
        <v>0</v>
      </c>
      <c r="BE112" s="337">
        <f>IF(AZ112=5,#REF!,0)</f>
        <v>0</v>
      </c>
      <c r="CZ112" s="337">
        <v>0</v>
      </c>
    </row>
    <row r="113" spans="1:15" ht="12">
      <c r="A113" s="390"/>
      <c r="B113" s="399"/>
      <c r="C113" s="412" t="s">
        <v>2321</v>
      </c>
      <c r="D113" s="392"/>
      <c r="E113" s="412">
        <v>174</v>
      </c>
      <c r="F113" s="388"/>
      <c r="G113" s="389"/>
      <c r="H113" s="389"/>
      <c r="O113" s="382"/>
    </row>
    <row r="114" spans="1:15" ht="12">
      <c r="A114" s="390">
        <f t="shared" si="1"/>
        <v>35</v>
      </c>
      <c r="B114" s="399" t="s">
        <v>2322</v>
      </c>
      <c r="C114" s="411" t="s">
        <v>2323</v>
      </c>
      <c r="D114" s="392" t="s">
        <v>467</v>
      </c>
      <c r="E114" s="388">
        <f>E115</f>
        <v>2106</v>
      </c>
      <c r="F114" s="388"/>
      <c r="G114" s="389">
        <f>E114*F114</f>
        <v>0</v>
      </c>
      <c r="H114" s="389"/>
      <c r="O114" s="382"/>
    </row>
    <row r="115" spans="1:15" ht="12">
      <c r="A115" s="390"/>
      <c r="B115" s="399"/>
      <c r="C115" s="412" t="s">
        <v>2321</v>
      </c>
      <c r="D115" s="392"/>
      <c r="E115" s="412">
        <v>2106</v>
      </c>
      <c r="F115" s="388"/>
      <c r="G115" s="389"/>
      <c r="H115" s="389"/>
      <c r="O115" s="382"/>
    </row>
    <row r="116" spans="1:15" ht="12">
      <c r="A116" s="390">
        <f t="shared" si="1"/>
        <v>36</v>
      </c>
      <c r="B116" s="399" t="s">
        <v>2324</v>
      </c>
      <c r="C116" s="411" t="s">
        <v>2325</v>
      </c>
      <c r="D116" s="392" t="s">
        <v>467</v>
      </c>
      <c r="E116" s="388">
        <f>E117</f>
        <v>38</v>
      </c>
      <c r="F116" s="388"/>
      <c r="G116" s="389">
        <f>E116*F116</f>
        <v>0</v>
      </c>
      <c r="H116" s="389"/>
      <c r="O116" s="382"/>
    </row>
    <row r="117" spans="1:15" ht="12">
      <c r="A117" s="390"/>
      <c r="B117" s="399"/>
      <c r="C117" s="412" t="s">
        <v>2326</v>
      </c>
      <c r="D117" s="392"/>
      <c r="E117" s="412">
        <v>38</v>
      </c>
      <c r="F117" s="388"/>
      <c r="G117" s="389"/>
      <c r="H117" s="389"/>
      <c r="O117" s="382"/>
    </row>
    <row r="118" spans="1:15" ht="12">
      <c r="A118" s="390">
        <f t="shared" si="1"/>
        <v>37</v>
      </c>
      <c r="B118" s="399" t="s">
        <v>2327</v>
      </c>
      <c r="C118" s="411" t="s">
        <v>2328</v>
      </c>
      <c r="D118" s="392" t="s">
        <v>467</v>
      </c>
      <c r="E118" s="388">
        <f>E119</f>
        <v>5</v>
      </c>
      <c r="F118" s="388"/>
      <c r="G118" s="389">
        <f>E118*F118</f>
        <v>0</v>
      </c>
      <c r="H118" s="389"/>
      <c r="O118" s="382"/>
    </row>
    <row r="119" spans="1:15" ht="12">
      <c r="A119" s="390"/>
      <c r="B119" s="399"/>
      <c r="C119" s="412" t="s">
        <v>2326</v>
      </c>
      <c r="D119" s="392"/>
      <c r="E119" s="412">
        <v>5</v>
      </c>
      <c r="F119" s="388"/>
      <c r="G119" s="389">
        <f>E119*F119</f>
        <v>0</v>
      </c>
      <c r="H119" s="389"/>
      <c r="O119" s="382"/>
    </row>
    <row r="120" spans="1:15" ht="12">
      <c r="A120" s="390">
        <f t="shared" si="1"/>
        <v>38</v>
      </c>
      <c r="B120" s="399" t="s">
        <v>2329</v>
      </c>
      <c r="C120" s="411" t="s">
        <v>2330</v>
      </c>
      <c r="D120" s="392" t="s">
        <v>467</v>
      </c>
      <c r="E120" s="388">
        <f>E121</f>
        <v>30</v>
      </c>
      <c r="F120" s="388"/>
      <c r="G120" s="389">
        <f>E120*F120</f>
        <v>0</v>
      </c>
      <c r="H120" s="389"/>
      <c r="O120" s="382"/>
    </row>
    <row r="121" spans="1:15" ht="12">
      <c r="A121" s="390"/>
      <c r="B121" s="399"/>
      <c r="C121" s="412" t="s">
        <v>2331</v>
      </c>
      <c r="D121" s="392"/>
      <c r="E121" s="412">
        <v>30</v>
      </c>
      <c r="F121" s="388"/>
      <c r="G121" s="389"/>
      <c r="H121" s="389"/>
      <c r="O121" s="382"/>
    </row>
    <row r="122" spans="1:104" ht="12">
      <c r="A122" s="390">
        <f>A120+1</f>
        <v>39</v>
      </c>
      <c r="B122" s="399" t="s">
        <v>2268</v>
      </c>
      <c r="C122" s="411" t="s">
        <v>2332</v>
      </c>
      <c r="D122" s="392" t="s">
        <v>246</v>
      </c>
      <c r="E122" s="388">
        <f>E123</f>
        <v>43</v>
      </c>
      <c r="F122" s="388"/>
      <c r="G122" s="389">
        <f>E122*F122</f>
        <v>0</v>
      </c>
      <c r="H122" s="389"/>
      <c r="O122" s="382">
        <v>2</v>
      </c>
      <c r="AA122" s="337">
        <v>1</v>
      </c>
      <c r="AB122" s="337">
        <v>1</v>
      </c>
      <c r="AC122" s="337">
        <v>1</v>
      </c>
      <c r="AZ122" s="337">
        <v>1</v>
      </c>
      <c r="BA122" s="337" t="e">
        <f>IF(AZ122=1,#REF!,0)</f>
        <v>#REF!</v>
      </c>
      <c r="BB122" s="337">
        <f>IF(AZ122=2,#REF!,0)</f>
        <v>0</v>
      </c>
      <c r="BC122" s="337">
        <f>IF(AZ122=3,#REF!,0)</f>
        <v>0</v>
      </c>
      <c r="BD122" s="337">
        <f>IF(AZ122=4,#REF!,0)</f>
        <v>0</v>
      </c>
      <c r="BE122" s="337">
        <f>IF(AZ122=5,#REF!,0)</f>
        <v>0</v>
      </c>
      <c r="CZ122" s="337">
        <v>0</v>
      </c>
    </row>
    <row r="123" spans="1:15" ht="12">
      <c r="A123" s="390"/>
      <c r="B123" s="399"/>
      <c r="C123" s="412" t="s">
        <v>2333</v>
      </c>
      <c r="D123" s="392"/>
      <c r="E123" s="412">
        <v>43</v>
      </c>
      <c r="F123" s="388"/>
      <c r="G123" s="389"/>
      <c r="H123" s="389"/>
      <c r="O123" s="382"/>
    </row>
    <row r="124" spans="1:15" ht="12">
      <c r="A124" s="390">
        <f>A122+1</f>
        <v>40</v>
      </c>
      <c r="B124" s="399" t="s">
        <v>2334</v>
      </c>
      <c r="C124" s="411" t="s">
        <v>2335</v>
      </c>
      <c r="D124" s="392" t="s">
        <v>467</v>
      </c>
      <c r="E124" s="388">
        <f>E125</f>
        <v>43</v>
      </c>
      <c r="F124" s="388"/>
      <c r="G124" s="389">
        <f>E124*F124</f>
        <v>0</v>
      </c>
      <c r="H124" s="389"/>
      <c r="O124" s="382"/>
    </row>
    <row r="125" spans="1:15" ht="12">
      <c r="A125" s="390"/>
      <c r="B125" s="399"/>
      <c r="C125" s="412" t="s">
        <v>2336</v>
      </c>
      <c r="D125" s="392"/>
      <c r="E125" s="412">
        <v>43</v>
      </c>
      <c r="F125" s="388"/>
      <c r="G125" s="389"/>
      <c r="H125" s="389"/>
      <c r="O125" s="382"/>
    </row>
    <row r="126" spans="1:104" ht="12">
      <c r="A126" s="390">
        <f>A124+1</f>
        <v>41</v>
      </c>
      <c r="B126" s="399" t="s">
        <v>2337</v>
      </c>
      <c r="C126" s="411" t="s">
        <v>2338</v>
      </c>
      <c r="D126" s="392" t="s">
        <v>246</v>
      </c>
      <c r="E126" s="426">
        <f>E127+E128</f>
        <v>91.32</v>
      </c>
      <c r="F126" s="388"/>
      <c r="G126" s="389">
        <f>E126*F126</f>
        <v>0</v>
      </c>
      <c r="H126" s="389"/>
      <c r="O126" s="382">
        <v>2</v>
      </c>
      <c r="AA126" s="337">
        <v>1</v>
      </c>
      <c r="AB126" s="337">
        <v>1</v>
      </c>
      <c r="AC126" s="337">
        <v>1</v>
      </c>
      <c r="AZ126" s="337">
        <v>1</v>
      </c>
      <c r="BA126" s="337" t="e">
        <f>IF(AZ126=1,#REF!,0)</f>
        <v>#REF!</v>
      </c>
      <c r="BB126" s="337">
        <f>IF(AZ126=2,#REF!,0)</f>
        <v>0</v>
      </c>
      <c r="BC126" s="337">
        <f>IF(AZ126=3,#REF!,0)</f>
        <v>0</v>
      </c>
      <c r="BD126" s="337">
        <f>IF(AZ126=4,#REF!,0)</f>
        <v>0</v>
      </c>
      <c r="BE126" s="337">
        <f>IF(AZ126=5,#REF!,0)</f>
        <v>0</v>
      </c>
      <c r="CZ126" s="337">
        <v>1E-05</v>
      </c>
    </row>
    <row r="127" spans="1:15" ht="12">
      <c r="A127" s="390"/>
      <c r="B127" s="399"/>
      <c r="C127" s="412" t="s">
        <v>2279</v>
      </c>
      <c r="D127" s="392"/>
      <c r="E127" s="412">
        <v>67</v>
      </c>
      <c r="F127" s="388"/>
      <c r="G127" s="389"/>
      <c r="H127" s="389"/>
      <c r="O127" s="382"/>
    </row>
    <row r="128" spans="2:15" ht="12">
      <c r="B128" s="399"/>
      <c r="C128" s="412" t="s">
        <v>2339</v>
      </c>
      <c r="D128" s="392"/>
      <c r="E128" s="412">
        <v>24.32</v>
      </c>
      <c r="F128" s="388"/>
      <c r="G128" s="389"/>
      <c r="H128" s="389"/>
      <c r="O128" s="382"/>
    </row>
    <row r="129" spans="1:15" ht="12">
      <c r="A129" s="390">
        <f>A126+1</f>
        <v>42</v>
      </c>
      <c r="B129" s="399" t="s">
        <v>2340</v>
      </c>
      <c r="C129" s="411" t="s">
        <v>2341</v>
      </c>
      <c r="D129" s="392" t="s">
        <v>246</v>
      </c>
      <c r="E129" s="426">
        <f>E130</f>
        <v>965</v>
      </c>
      <c r="F129" s="388"/>
      <c r="G129" s="389">
        <f>E129*F129</f>
        <v>0</v>
      </c>
      <c r="H129" s="389"/>
      <c r="O129" s="382"/>
    </row>
    <row r="130" spans="1:15" ht="12">
      <c r="A130" s="390"/>
      <c r="B130" s="399"/>
      <c r="C130" s="412" t="s">
        <v>2279</v>
      </c>
      <c r="D130" s="392"/>
      <c r="E130" s="412">
        <v>965</v>
      </c>
      <c r="F130" s="388"/>
      <c r="G130" s="389"/>
      <c r="H130" s="389"/>
      <c r="O130" s="382"/>
    </row>
    <row r="131" spans="1:15" ht="12">
      <c r="A131" s="390">
        <f>A129+1</f>
        <v>43</v>
      </c>
      <c r="B131" s="399" t="s">
        <v>2268</v>
      </c>
      <c r="C131" s="411" t="s">
        <v>2342</v>
      </c>
      <c r="D131" s="392" t="s">
        <v>246</v>
      </c>
      <c r="E131" s="426">
        <f>E132</f>
        <v>60</v>
      </c>
      <c r="F131" s="388"/>
      <c r="G131" s="389">
        <f>E131*F131</f>
        <v>0</v>
      </c>
      <c r="H131" s="389"/>
      <c r="O131" s="382"/>
    </row>
    <row r="132" spans="1:15" ht="12">
      <c r="A132" s="390"/>
      <c r="B132" s="399"/>
      <c r="C132" s="412" t="s">
        <v>2343</v>
      </c>
      <c r="D132" s="392"/>
      <c r="E132" s="412">
        <v>60</v>
      </c>
      <c r="F132" s="388"/>
      <c r="G132" s="389"/>
      <c r="H132" s="389"/>
      <c r="O132" s="382"/>
    </row>
    <row r="133" spans="1:15" ht="12">
      <c r="A133" s="390">
        <f>A131+1</f>
        <v>44</v>
      </c>
      <c r="B133" s="399" t="s">
        <v>2268</v>
      </c>
      <c r="C133" s="411" t="s">
        <v>2344</v>
      </c>
      <c r="D133" s="392" t="s">
        <v>246</v>
      </c>
      <c r="E133" s="426">
        <f>E134</f>
        <v>60</v>
      </c>
      <c r="F133" s="388"/>
      <c r="G133" s="389">
        <f>E133*F133</f>
        <v>0</v>
      </c>
      <c r="H133" s="389"/>
      <c r="O133" s="382"/>
    </row>
    <row r="134" spans="1:15" ht="12">
      <c r="A134" s="390"/>
      <c r="B134" s="399"/>
      <c r="C134" s="412" t="s">
        <v>2283</v>
      </c>
      <c r="D134" s="392"/>
      <c r="E134" s="412">
        <v>60</v>
      </c>
      <c r="F134" s="388"/>
      <c r="G134" s="389"/>
      <c r="H134" s="389"/>
      <c r="O134" s="382"/>
    </row>
    <row r="135" spans="1:104" ht="12">
      <c r="A135" s="390">
        <f>A133+1</f>
        <v>45</v>
      </c>
      <c r="B135" s="399" t="s">
        <v>2345</v>
      </c>
      <c r="C135" s="411" t="s">
        <v>2346</v>
      </c>
      <c r="D135" s="392" t="s">
        <v>413</v>
      </c>
      <c r="E135" s="426">
        <f>E136</f>
        <v>0.0218</v>
      </c>
      <c r="F135" s="388"/>
      <c r="G135" s="389">
        <f aca="true" t="shared" si="2" ref="G135:G144">E135*F135</f>
        <v>0</v>
      </c>
      <c r="H135" s="389"/>
      <c r="O135" s="382">
        <v>2</v>
      </c>
      <c r="AA135" s="337">
        <v>1</v>
      </c>
      <c r="AB135" s="337">
        <v>1</v>
      </c>
      <c r="AC135" s="337">
        <v>1</v>
      </c>
      <c r="AZ135" s="337">
        <v>1</v>
      </c>
      <c r="BA135" s="337" t="e">
        <f>IF(AZ135=1,#REF!,0)</f>
        <v>#REF!</v>
      </c>
      <c r="BB135" s="337">
        <f>IF(AZ135=2,#REF!,0)</f>
        <v>0</v>
      </c>
      <c r="BC135" s="337">
        <f>IF(AZ135=3,#REF!,0)</f>
        <v>0</v>
      </c>
      <c r="BD135" s="337">
        <f>IF(AZ135=4,#REF!,0)</f>
        <v>0</v>
      </c>
      <c r="BE135" s="337">
        <f>IF(AZ135=5,#REF!,0)</f>
        <v>0</v>
      </c>
      <c r="CZ135" s="337">
        <v>1E-05</v>
      </c>
    </row>
    <row r="136" spans="1:15" ht="12">
      <c r="A136" s="390"/>
      <c r="B136" s="399"/>
      <c r="C136" s="412" t="s">
        <v>2347</v>
      </c>
      <c r="D136" s="392"/>
      <c r="E136" s="412">
        <v>0.0218</v>
      </c>
      <c r="F136" s="388"/>
      <c r="G136" s="389">
        <f t="shared" si="2"/>
        <v>0</v>
      </c>
      <c r="H136" s="389"/>
      <c r="O136" s="382"/>
    </row>
    <row r="137" spans="1:15" ht="12">
      <c r="A137" s="390">
        <f>A135+1</f>
        <v>46</v>
      </c>
      <c r="B137" s="399" t="s">
        <v>2348</v>
      </c>
      <c r="C137" s="411" t="s">
        <v>2349</v>
      </c>
      <c r="D137" s="392" t="s">
        <v>413</v>
      </c>
      <c r="E137" s="426">
        <f>E138</f>
        <v>0.004</v>
      </c>
      <c r="F137" s="388"/>
      <c r="G137" s="389">
        <f t="shared" si="2"/>
        <v>0</v>
      </c>
      <c r="H137" s="389"/>
      <c r="O137" s="382"/>
    </row>
    <row r="138" spans="1:15" ht="12">
      <c r="A138" s="390"/>
      <c r="B138" s="399"/>
      <c r="C138" s="412" t="s">
        <v>2350</v>
      </c>
      <c r="D138" s="392"/>
      <c r="E138" s="412">
        <v>0.004</v>
      </c>
      <c r="F138" s="388"/>
      <c r="G138" s="389">
        <f t="shared" si="2"/>
        <v>0</v>
      </c>
      <c r="H138" s="389"/>
      <c r="O138" s="382"/>
    </row>
    <row r="139" spans="1:104" ht="21">
      <c r="A139" s="390">
        <f>A137+1</f>
        <v>47</v>
      </c>
      <c r="B139" s="399" t="s">
        <v>2351</v>
      </c>
      <c r="C139" s="411" t="s">
        <v>2352</v>
      </c>
      <c r="D139" s="392" t="s">
        <v>413</v>
      </c>
      <c r="E139" s="427">
        <f>E140+E141</f>
        <v>0.00364</v>
      </c>
      <c r="F139" s="389"/>
      <c r="G139" s="389">
        <f t="shared" si="2"/>
        <v>0</v>
      </c>
      <c r="H139" s="389"/>
      <c r="O139" s="382">
        <v>2</v>
      </c>
      <c r="AA139" s="337">
        <v>1</v>
      </c>
      <c r="AB139" s="337">
        <v>1</v>
      </c>
      <c r="AC139" s="337">
        <v>1</v>
      </c>
      <c r="AZ139" s="337">
        <v>1</v>
      </c>
      <c r="BA139" s="337" t="e">
        <f>IF(AZ139=1,#REF!,0)</f>
        <v>#REF!</v>
      </c>
      <c r="BB139" s="337">
        <f>IF(AZ139=2,#REF!,0)</f>
        <v>0</v>
      </c>
      <c r="BC139" s="337">
        <f>IF(AZ139=3,#REF!,0)</f>
        <v>0</v>
      </c>
      <c r="BD139" s="337">
        <f>IF(AZ139=4,#REF!,0)</f>
        <v>0</v>
      </c>
      <c r="BE139" s="337">
        <f>IF(AZ139=5,#REF!,0)</f>
        <v>0</v>
      </c>
      <c r="CZ139" s="337">
        <v>0</v>
      </c>
    </row>
    <row r="140" spans="1:15" ht="12">
      <c r="A140" s="390"/>
      <c r="B140" s="399"/>
      <c r="C140" s="412" t="s">
        <v>2353</v>
      </c>
      <c r="D140" s="392"/>
      <c r="E140" s="412">
        <v>0.0019</v>
      </c>
      <c r="F140" s="388"/>
      <c r="G140" s="389">
        <f t="shared" si="2"/>
        <v>0</v>
      </c>
      <c r="H140" s="389"/>
      <c r="O140" s="382"/>
    </row>
    <row r="141" spans="2:15" ht="12">
      <c r="B141" s="399"/>
      <c r="C141" s="412" t="s">
        <v>2354</v>
      </c>
      <c r="D141" s="392"/>
      <c r="E141" s="412">
        <v>0.00174</v>
      </c>
      <c r="F141" s="388"/>
      <c r="G141" s="389">
        <f t="shared" si="2"/>
        <v>0</v>
      </c>
      <c r="H141" s="389"/>
      <c r="O141" s="382"/>
    </row>
    <row r="142" spans="1:15" ht="20.4">
      <c r="A142" s="383">
        <f>A139+1</f>
        <v>48</v>
      </c>
      <c r="B142" s="384" t="s">
        <v>2355</v>
      </c>
      <c r="C142" s="406" t="s">
        <v>2356</v>
      </c>
      <c r="D142" s="403" t="s">
        <v>413</v>
      </c>
      <c r="E142" s="428">
        <f>E143+E144+E145</f>
        <v>0.02161</v>
      </c>
      <c r="F142" s="429"/>
      <c r="G142" s="429">
        <f t="shared" si="2"/>
        <v>0</v>
      </c>
      <c r="H142" s="389"/>
      <c r="O142" s="382"/>
    </row>
    <row r="143" spans="1:15" ht="12">
      <c r="A143" s="390"/>
      <c r="B143" s="399"/>
      <c r="C143" s="412" t="s">
        <v>2357</v>
      </c>
      <c r="D143" s="392"/>
      <c r="E143" s="412">
        <v>0.00025</v>
      </c>
      <c r="F143" s="388"/>
      <c r="G143" s="389">
        <f t="shared" si="2"/>
        <v>0</v>
      </c>
      <c r="H143" s="389"/>
      <c r="O143" s="382"/>
    </row>
    <row r="144" spans="1:15" ht="12">
      <c r="A144" s="390"/>
      <c r="B144" s="399"/>
      <c r="C144" s="412" t="s">
        <v>2358</v>
      </c>
      <c r="D144" s="392"/>
      <c r="E144" s="412">
        <v>0.02106</v>
      </c>
      <c r="F144" s="388"/>
      <c r="G144" s="389">
        <f t="shared" si="2"/>
        <v>0</v>
      </c>
      <c r="H144" s="389"/>
      <c r="O144" s="382"/>
    </row>
    <row r="145" spans="1:15" ht="12">
      <c r="A145" s="390"/>
      <c r="B145" s="399"/>
      <c r="C145" s="412" t="s">
        <v>2359</v>
      </c>
      <c r="D145" s="392"/>
      <c r="E145" s="412">
        <v>0.0003</v>
      </c>
      <c r="F145" s="388"/>
      <c r="G145" s="389"/>
      <c r="H145" s="389"/>
      <c r="O145" s="382"/>
    </row>
    <row r="146" spans="1:8" ht="15" customHeight="1">
      <c r="A146" s="390">
        <f>A142+1</f>
        <v>49</v>
      </c>
      <c r="B146" s="399" t="s">
        <v>2360</v>
      </c>
      <c r="C146" s="411" t="s">
        <v>2361</v>
      </c>
      <c r="D146" s="392" t="s">
        <v>324</v>
      </c>
      <c r="E146" s="430">
        <f>SUM(E147:E149)</f>
        <v>14.9</v>
      </c>
      <c r="F146" s="388"/>
      <c r="G146" s="389">
        <f>E146*F146</f>
        <v>0</v>
      </c>
      <c r="H146" s="389"/>
    </row>
    <row r="147" spans="1:8" ht="15" customHeight="1">
      <c r="A147" s="390"/>
      <c r="B147" s="399"/>
      <c r="C147" s="412" t="s">
        <v>2362</v>
      </c>
      <c r="D147" s="392"/>
      <c r="E147" s="412">
        <v>3.44</v>
      </c>
      <c r="F147" s="388"/>
      <c r="G147" s="389"/>
      <c r="H147" s="389"/>
    </row>
    <row r="148" spans="1:8" ht="15" customHeight="1">
      <c r="A148" s="390"/>
      <c r="B148" s="399"/>
      <c r="C148" s="412" t="s">
        <v>2363</v>
      </c>
      <c r="D148" s="392"/>
      <c r="E148" s="412">
        <v>11.4</v>
      </c>
      <c r="F148" s="388"/>
      <c r="G148" s="389"/>
      <c r="H148" s="389"/>
    </row>
    <row r="149" spans="1:8" ht="12">
      <c r="A149" s="390"/>
      <c r="B149" s="399"/>
      <c r="C149" s="412" t="s">
        <v>2364</v>
      </c>
      <c r="D149" s="392"/>
      <c r="E149" s="412">
        <v>0.06</v>
      </c>
      <c r="F149" s="388"/>
      <c r="G149" s="389"/>
      <c r="H149" s="389"/>
    </row>
    <row r="150" spans="1:8" ht="12">
      <c r="A150" s="431"/>
      <c r="B150" s="432" t="s">
        <v>2365</v>
      </c>
      <c r="C150" s="433"/>
      <c r="D150" s="434"/>
      <c r="E150" s="435"/>
      <c r="F150" s="435"/>
      <c r="G150" s="436"/>
      <c r="H150" s="436"/>
    </row>
    <row r="151" spans="1:15" ht="12">
      <c r="A151" s="390"/>
      <c r="B151" s="437"/>
      <c r="C151" s="412" t="s">
        <v>2366</v>
      </c>
      <c r="D151" s="392"/>
      <c r="E151" s="388"/>
      <c r="F151" s="388"/>
      <c r="G151" s="389">
        <f>E151*F151</f>
        <v>0</v>
      </c>
      <c r="H151" s="438"/>
      <c r="O151" s="382"/>
    </row>
    <row r="152" spans="1:15" ht="12">
      <c r="A152" s="390">
        <f>A146+1</f>
        <v>50</v>
      </c>
      <c r="B152" s="437" t="s">
        <v>2367</v>
      </c>
      <c r="C152" s="411" t="s">
        <v>2368</v>
      </c>
      <c r="D152" s="392" t="s">
        <v>467</v>
      </c>
      <c r="E152" s="388">
        <v>3</v>
      </c>
      <c r="F152" s="388"/>
      <c r="G152" s="389">
        <f>E152*F152</f>
        <v>0</v>
      </c>
      <c r="H152" s="438">
        <f aca="true" t="shared" si="3" ref="H152:H157">0.08*E152</f>
        <v>0.24</v>
      </c>
      <c r="O152" s="382"/>
    </row>
    <row r="153" spans="1:15" ht="12">
      <c r="A153" s="383">
        <f>A152+1</f>
        <v>51</v>
      </c>
      <c r="B153" s="437" t="s">
        <v>2369</v>
      </c>
      <c r="C153" s="411" t="s">
        <v>2370</v>
      </c>
      <c r="D153" s="392" t="s">
        <v>467</v>
      </c>
      <c r="E153" s="388">
        <v>4</v>
      </c>
      <c r="F153" s="388"/>
      <c r="G153" s="389">
        <f>E153*F153</f>
        <v>0</v>
      </c>
      <c r="H153" s="438">
        <f t="shared" si="3"/>
        <v>0.32</v>
      </c>
      <c r="O153" s="382"/>
    </row>
    <row r="154" spans="1:15" ht="12">
      <c r="A154" s="383">
        <f>A153+1</f>
        <v>52</v>
      </c>
      <c r="B154" s="437" t="s">
        <v>2371</v>
      </c>
      <c r="C154" s="411" t="s">
        <v>2372</v>
      </c>
      <c r="D154" s="392" t="s">
        <v>467</v>
      </c>
      <c r="E154" s="388">
        <v>4</v>
      </c>
      <c r="F154" s="388"/>
      <c r="G154" s="389">
        <f>E154*F154</f>
        <v>0</v>
      </c>
      <c r="H154" s="438">
        <f t="shared" si="3"/>
        <v>0.32</v>
      </c>
      <c r="O154" s="382"/>
    </row>
    <row r="155" spans="1:8" ht="12">
      <c r="A155" s="383">
        <f>A154+1</f>
        <v>53</v>
      </c>
      <c r="B155" s="437" t="s">
        <v>2373</v>
      </c>
      <c r="C155" s="411" t="s">
        <v>2374</v>
      </c>
      <c r="D155" s="392" t="s">
        <v>467</v>
      </c>
      <c r="E155" s="388">
        <v>2</v>
      </c>
      <c r="F155" s="388"/>
      <c r="G155" s="389">
        <f>E155*F155</f>
        <v>0</v>
      </c>
      <c r="H155" s="438">
        <f t="shared" si="3"/>
        <v>0.16</v>
      </c>
    </row>
    <row r="156" spans="1:8" ht="12">
      <c r="A156" s="383">
        <f aca="true" t="shared" si="4" ref="A156:A167">A155+1</f>
        <v>54</v>
      </c>
      <c r="B156" s="437" t="s">
        <v>2375</v>
      </c>
      <c r="C156" s="411" t="s">
        <v>2376</v>
      </c>
      <c r="D156" s="392" t="s">
        <v>467</v>
      </c>
      <c r="E156" s="388">
        <v>15</v>
      </c>
      <c r="F156" s="388"/>
      <c r="G156" s="389">
        <f aca="true" t="shared" si="5" ref="G156:G166">E156*F156</f>
        <v>0</v>
      </c>
      <c r="H156" s="438">
        <f t="shared" si="3"/>
        <v>1.2</v>
      </c>
    </row>
    <row r="157" spans="1:8" ht="12">
      <c r="A157" s="383">
        <f t="shared" si="4"/>
        <v>55</v>
      </c>
      <c r="B157" s="437" t="s">
        <v>2377</v>
      </c>
      <c r="C157" s="411" t="s">
        <v>2378</v>
      </c>
      <c r="D157" s="392" t="s">
        <v>467</v>
      </c>
      <c r="E157" s="388">
        <v>15</v>
      </c>
      <c r="F157" s="388"/>
      <c r="G157" s="389">
        <f t="shared" si="5"/>
        <v>0</v>
      </c>
      <c r="H157" s="438">
        <f t="shared" si="3"/>
        <v>1.2</v>
      </c>
    </row>
    <row r="158" spans="1:8" ht="12">
      <c r="A158" s="383">
        <f t="shared" si="4"/>
        <v>56</v>
      </c>
      <c r="B158" s="437" t="s">
        <v>2379</v>
      </c>
      <c r="C158" s="411" t="s">
        <v>2380</v>
      </c>
      <c r="D158" s="392" t="s">
        <v>467</v>
      </c>
      <c r="E158" s="388">
        <v>400</v>
      </c>
      <c r="F158" s="388"/>
      <c r="G158" s="389">
        <f t="shared" si="5"/>
        <v>0</v>
      </c>
      <c r="H158" s="438">
        <f>0.001*E158</f>
        <v>0.4</v>
      </c>
    </row>
    <row r="159" spans="1:8" ht="12">
      <c r="A159" s="383">
        <f t="shared" si="4"/>
        <v>57</v>
      </c>
      <c r="B159" s="437" t="s">
        <v>2381</v>
      </c>
      <c r="C159" s="411" t="s">
        <v>2382</v>
      </c>
      <c r="D159" s="392" t="s">
        <v>467</v>
      </c>
      <c r="E159" s="388">
        <v>250</v>
      </c>
      <c r="F159" s="388"/>
      <c r="G159" s="389">
        <f t="shared" si="5"/>
        <v>0</v>
      </c>
      <c r="H159" s="438">
        <f aca="true" t="shared" si="6" ref="H159:H166">0.001*E159</f>
        <v>0.25</v>
      </c>
    </row>
    <row r="160" spans="1:8" ht="12">
      <c r="A160" s="383">
        <f t="shared" si="4"/>
        <v>58</v>
      </c>
      <c r="B160" s="437" t="s">
        <v>2383</v>
      </c>
      <c r="C160" s="411" t="s">
        <v>2384</v>
      </c>
      <c r="D160" s="392" t="s">
        <v>467</v>
      </c>
      <c r="E160" s="388">
        <v>400</v>
      </c>
      <c r="F160" s="388"/>
      <c r="G160" s="389">
        <f t="shared" si="5"/>
        <v>0</v>
      </c>
      <c r="H160" s="438">
        <f t="shared" si="6"/>
        <v>0.4</v>
      </c>
    </row>
    <row r="161" spans="1:8" ht="12">
      <c r="A161" s="383">
        <f t="shared" si="4"/>
        <v>59</v>
      </c>
      <c r="B161" s="437" t="s">
        <v>2385</v>
      </c>
      <c r="C161" s="411" t="s">
        <v>2386</v>
      </c>
      <c r="D161" s="392" t="s">
        <v>467</v>
      </c>
      <c r="E161" s="388">
        <v>80</v>
      </c>
      <c r="F161" s="388"/>
      <c r="G161" s="389">
        <f t="shared" si="5"/>
        <v>0</v>
      </c>
      <c r="H161" s="438">
        <f t="shared" si="6"/>
        <v>0.08</v>
      </c>
    </row>
    <row r="162" spans="1:8" ht="12">
      <c r="A162" s="383">
        <f t="shared" si="4"/>
        <v>60</v>
      </c>
      <c r="B162" s="437" t="s">
        <v>2387</v>
      </c>
      <c r="C162" s="411" t="s">
        <v>2388</v>
      </c>
      <c r="D162" s="392" t="s">
        <v>467</v>
      </c>
      <c r="E162" s="388">
        <v>80</v>
      </c>
      <c r="F162" s="388"/>
      <c r="G162" s="389">
        <f t="shared" si="5"/>
        <v>0</v>
      </c>
      <c r="H162" s="438">
        <f t="shared" si="6"/>
        <v>0.08</v>
      </c>
    </row>
    <row r="163" spans="1:8" ht="12">
      <c r="A163" s="383">
        <f t="shared" si="4"/>
        <v>61</v>
      </c>
      <c r="B163" s="437" t="s">
        <v>2389</v>
      </c>
      <c r="C163" s="411" t="s">
        <v>2390</v>
      </c>
      <c r="D163" s="392" t="s">
        <v>467</v>
      </c>
      <c r="E163" s="388">
        <v>400</v>
      </c>
      <c r="F163" s="388"/>
      <c r="G163" s="389">
        <f t="shared" si="5"/>
        <v>0</v>
      </c>
      <c r="H163" s="438">
        <f t="shared" si="6"/>
        <v>0.4</v>
      </c>
    </row>
    <row r="164" spans="1:8" ht="12">
      <c r="A164" s="383">
        <f t="shared" si="4"/>
        <v>62</v>
      </c>
      <c r="B164" s="437" t="s">
        <v>2391</v>
      </c>
      <c r="C164" s="411" t="s">
        <v>2392</v>
      </c>
      <c r="D164" s="392" t="s">
        <v>467</v>
      </c>
      <c r="E164" s="388">
        <v>670</v>
      </c>
      <c r="F164" s="388"/>
      <c r="G164" s="389">
        <f t="shared" si="5"/>
        <v>0</v>
      </c>
      <c r="H164" s="438">
        <f t="shared" si="6"/>
        <v>0.67</v>
      </c>
    </row>
    <row r="165" spans="1:8" ht="12">
      <c r="A165" s="383">
        <f t="shared" si="4"/>
        <v>63</v>
      </c>
      <c r="B165" s="437" t="s">
        <v>2393</v>
      </c>
      <c r="C165" s="411" t="s">
        <v>2394</v>
      </c>
      <c r="D165" s="392" t="s">
        <v>467</v>
      </c>
      <c r="E165" s="388">
        <v>15</v>
      </c>
      <c r="F165" s="388"/>
      <c r="G165" s="389">
        <f t="shared" si="5"/>
        <v>0</v>
      </c>
      <c r="H165" s="438">
        <f t="shared" si="6"/>
        <v>0.015</v>
      </c>
    </row>
    <row r="166" spans="1:8" ht="12">
      <c r="A166" s="383">
        <f t="shared" si="4"/>
        <v>64</v>
      </c>
      <c r="B166" s="437" t="s">
        <v>2395</v>
      </c>
      <c r="C166" s="411" t="s">
        <v>2396</v>
      </c>
      <c r="D166" s="392" t="s">
        <v>467</v>
      </c>
      <c r="E166" s="388">
        <v>15</v>
      </c>
      <c r="F166" s="388"/>
      <c r="G166" s="389">
        <f t="shared" si="5"/>
        <v>0</v>
      </c>
      <c r="H166" s="438">
        <f t="shared" si="6"/>
        <v>0.015</v>
      </c>
    </row>
    <row r="167" spans="1:8" ht="12">
      <c r="A167" s="383">
        <f t="shared" si="4"/>
        <v>65</v>
      </c>
      <c r="B167" s="411" t="s">
        <v>2268</v>
      </c>
      <c r="C167" s="411" t="s">
        <v>2397</v>
      </c>
      <c r="D167" s="392" t="s">
        <v>944</v>
      </c>
      <c r="E167" s="388">
        <f>E168</f>
        <v>38.7</v>
      </c>
      <c r="F167" s="388"/>
      <c r="G167" s="389">
        <f>E167*F167</f>
        <v>0</v>
      </c>
      <c r="H167" s="438">
        <f>0.001*E167</f>
        <v>0.038700000000000005</v>
      </c>
    </row>
    <row r="168" spans="1:8" ht="12">
      <c r="A168" s="383"/>
      <c r="B168" s="411"/>
      <c r="C168" s="412" t="s">
        <v>2398</v>
      </c>
      <c r="D168" s="392"/>
      <c r="E168" s="412">
        <v>38.7</v>
      </c>
      <c r="F168" s="388"/>
      <c r="G168" s="389"/>
      <c r="H168" s="389"/>
    </row>
    <row r="169" spans="1:104" ht="15" customHeight="1">
      <c r="A169" s="383">
        <f>A167+1</f>
        <v>66</v>
      </c>
      <c r="B169" s="411" t="s">
        <v>2399</v>
      </c>
      <c r="C169" s="411" t="s">
        <v>2400</v>
      </c>
      <c r="D169" s="392" t="s">
        <v>324</v>
      </c>
      <c r="E169" s="388">
        <f>E170</f>
        <v>14.9</v>
      </c>
      <c r="F169" s="388"/>
      <c r="G169" s="389">
        <f>E169*F169</f>
        <v>0</v>
      </c>
      <c r="H169" s="438"/>
      <c r="O169" s="382">
        <v>2</v>
      </c>
      <c r="AA169" s="337">
        <v>3</v>
      </c>
      <c r="AB169" s="337">
        <v>1</v>
      </c>
      <c r="AC169" s="337">
        <v>2612</v>
      </c>
      <c r="AZ169" s="337">
        <v>1</v>
      </c>
      <c r="BA169" s="337" t="e">
        <f>IF(AZ169=1,#REF!,0)</f>
        <v>#REF!</v>
      </c>
      <c r="BB169" s="337">
        <f>IF(AZ169=2,#REF!,0)</f>
        <v>0</v>
      </c>
      <c r="BC169" s="337">
        <f>IF(AZ169=3,#REF!,0)</f>
        <v>0</v>
      </c>
      <c r="BD169" s="337">
        <f>IF(AZ169=4,#REF!,0)</f>
        <v>0</v>
      </c>
      <c r="BE169" s="337">
        <f>IF(AZ169=5,#REF!,0)</f>
        <v>0</v>
      </c>
      <c r="CZ169" s="337">
        <v>0.004</v>
      </c>
    </row>
    <row r="170" spans="1:15" ht="15" customHeight="1">
      <c r="A170" s="383"/>
      <c r="B170" s="411"/>
      <c r="C170" s="412" t="s">
        <v>2401</v>
      </c>
      <c r="D170" s="392"/>
      <c r="E170" s="412">
        <v>14.9</v>
      </c>
      <c r="F170" s="388"/>
      <c r="G170" s="389"/>
      <c r="H170" s="438"/>
      <c r="O170" s="382"/>
    </row>
    <row r="171" spans="1:15" ht="12">
      <c r="A171" s="383">
        <f>A169+1</f>
        <v>67</v>
      </c>
      <c r="B171" s="411" t="s">
        <v>2268</v>
      </c>
      <c r="C171" s="411" t="s">
        <v>2402</v>
      </c>
      <c r="D171" s="392" t="s">
        <v>467</v>
      </c>
      <c r="E171" s="388">
        <f>E172</f>
        <v>129</v>
      </c>
      <c r="F171" s="388"/>
      <c r="G171" s="389">
        <f>E171*F171</f>
        <v>0</v>
      </c>
      <c r="H171" s="438">
        <f>0.007*E171</f>
        <v>0.903</v>
      </c>
      <c r="O171" s="382"/>
    </row>
    <row r="172" spans="1:15" ht="12">
      <c r="A172" s="383"/>
      <c r="B172" s="411"/>
      <c r="C172" s="412" t="s">
        <v>2403</v>
      </c>
      <c r="D172" s="392"/>
      <c r="E172" s="412">
        <v>129</v>
      </c>
      <c r="F172" s="388"/>
      <c r="G172" s="389"/>
      <c r="H172" s="438"/>
      <c r="O172" s="382"/>
    </row>
    <row r="173" spans="1:15" ht="12">
      <c r="A173" s="383">
        <f>A171+1</f>
        <v>68</v>
      </c>
      <c r="B173" s="411" t="s">
        <v>2268</v>
      </c>
      <c r="C173" s="411" t="s">
        <v>2404</v>
      </c>
      <c r="D173" s="392" t="s">
        <v>467</v>
      </c>
      <c r="E173" s="388">
        <f>E174</f>
        <v>129</v>
      </c>
      <c r="F173" s="388"/>
      <c r="G173" s="389">
        <f>E173*F173</f>
        <v>0</v>
      </c>
      <c r="H173" s="438">
        <f>0.0002*E173</f>
        <v>0.0258</v>
      </c>
      <c r="O173" s="382"/>
    </row>
    <row r="174" spans="1:15" ht="12">
      <c r="A174" s="383"/>
      <c r="B174" s="411"/>
      <c r="C174" s="412" t="s">
        <v>2403</v>
      </c>
      <c r="D174" s="392"/>
      <c r="E174" s="412">
        <v>129</v>
      </c>
      <c r="F174" s="388"/>
      <c r="G174" s="389"/>
      <c r="H174" s="438"/>
      <c r="O174" s="382"/>
    </row>
    <row r="175" spans="1:15" ht="12">
      <c r="A175" s="383">
        <f>A173+1</f>
        <v>69</v>
      </c>
      <c r="B175" s="411" t="s">
        <v>2268</v>
      </c>
      <c r="C175" s="411" t="s">
        <v>2405</v>
      </c>
      <c r="D175" s="392" t="s">
        <v>308</v>
      </c>
      <c r="E175" s="388">
        <f>E176</f>
        <v>64.5</v>
      </c>
      <c r="F175" s="388"/>
      <c r="G175" s="389">
        <f>E175*F175</f>
        <v>0</v>
      </c>
      <c r="H175" s="438">
        <f>0.0002*E175</f>
        <v>0.0129</v>
      </c>
      <c r="O175" s="382"/>
    </row>
    <row r="176" spans="1:15" ht="12">
      <c r="A176" s="383"/>
      <c r="B176" s="411"/>
      <c r="C176" s="412" t="s">
        <v>2406</v>
      </c>
      <c r="D176" s="392"/>
      <c r="E176" s="412">
        <v>64.5</v>
      </c>
      <c r="F176" s="388"/>
      <c r="G176" s="389"/>
      <c r="H176" s="438"/>
      <c r="O176" s="382"/>
    </row>
    <row r="177" spans="1:104" ht="12">
      <c r="A177" s="383">
        <f>A175+1</f>
        <v>70</v>
      </c>
      <c r="B177" s="411" t="s">
        <v>2268</v>
      </c>
      <c r="C177" s="411" t="s">
        <v>2407</v>
      </c>
      <c r="D177" s="392" t="s">
        <v>324</v>
      </c>
      <c r="E177" s="388">
        <f>E178</f>
        <v>10.75</v>
      </c>
      <c r="F177" s="388"/>
      <c r="G177" s="389">
        <f>E177*F177</f>
        <v>0</v>
      </c>
      <c r="H177" s="438">
        <f>0.8*E177</f>
        <v>8.6</v>
      </c>
      <c r="O177" s="382">
        <v>2</v>
      </c>
      <c r="AA177" s="337">
        <v>3</v>
      </c>
      <c r="AB177" s="337">
        <v>1</v>
      </c>
      <c r="AC177" s="337">
        <v>8211320</v>
      </c>
      <c r="AZ177" s="337">
        <v>1</v>
      </c>
      <c r="BA177" s="337">
        <f>IF(AZ177=1,G169,0)</f>
        <v>0</v>
      </c>
      <c r="BB177" s="337">
        <f>IF(AZ177=2,G169,0)</f>
        <v>0</v>
      </c>
      <c r="BC177" s="337">
        <f>IF(AZ177=3,G169,0)</f>
        <v>0</v>
      </c>
      <c r="BD177" s="337">
        <f>IF(AZ177=4,G169,0)</f>
        <v>0</v>
      </c>
      <c r="BE177" s="337">
        <f>IF(AZ177=5,G169,0)</f>
        <v>0</v>
      </c>
      <c r="CZ177" s="337">
        <v>0</v>
      </c>
    </row>
    <row r="178" spans="1:15" ht="12">
      <c r="A178" s="383"/>
      <c r="B178" s="411"/>
      <c r="C178" s="412" t="s">
        <v>2408</v>
      </c>
      <c r="D178" s="392"/>
      <c r="E178" s="412">
        <v>10.75</v>
      </c>
      <c r="F178" s="388"/>
      <c r="G178" s="389"/>
      <c r="H178" s="438"/>
      <c r="O178" s="382"/>
    </row>
    <row r="179" spans="1:104" ht="12">
      <c r="A179" s="383">
        <f>A177+1</f>
        <v>71</v>
      </c>
      <c r="B179" s="411" t="s">
        <v>2268</v>
      </c>
      <c r="C179" s="411" t="s">
        <v>2409</v>
      </c>
      <c r="D179" s="392" t="s">
        <v>324</v>
      </c>
      <c r="E179" s="388">
        <f>E180+E181</f>
        <v>103.712</v>
      </c>
      <c r="F179" s="388"/>
      <c r="G179" s="389">
        <f>E179*F179</f>
        <v>0</v>
      </c>
      <c r="H179" s="438">
        <f>0.5*E179</f>
        <v>51.856</v>
      </c>
      <c r="O179" s="382">
        <v>2</v>
      </c>
      <c r="AA179" s="337">
        <v>3</v>
      </c>
      <c r="AB179" s="337">
        <v>1</v>
      </c>
      <c r="AC179" s="337">
        <v>10001</v>
      </c>
      <c r="AZ179" s="337">
        <v>1</v>
      </c>
      <c r="BA179" s="337" t="e">
        <f>IF(AZ179=1,#REF!,0)</f>
        <v>#REF!</v>
      </c>
      <c r="BB179" s="337">
        <f>IF(AZ179=2,#REF!,0)</f>
        <v>0</v>
      </c>
      <c r="BC179" s="337">
        <f>IF(AZ179=3,#REF!,0)</f>
        <v>0</v>
      </c>
      <c r="BD179" s="337">
        <f>IF(AZ179=4,#REF!,0)</f>
        <v>0</v>
      </c>
      <c r="BE179" s="337">
        <f>IF(AZ179=5,#REF!,0)</f>
        <v>0</v>
      </c>
      <c r="CZ179" s="337">
        <v>0</v>
      </c>
    </row>
    <row r="180" spans="1:15" ht="12">
      <c r="A180" s="383"/>
      <c r="B180" s="411"/>
      <c r="C180" s="412" t="s">
        <v>2410</v>
      </c>
      <c r="D180" s="392"/>
      <c r="E180" s="412">
        <v>103.2</v>
      </c>
      <c r="F180" s="388"/>
      <c r="G180" s="389"/>
      <c r="H180" s="438"/>
      <c r="O180" s="382"/>
    </row>
    <row r="181" spans="1:15" ht="12">
      <c r="A181" s="439"/>
      <c r="B181" s="411"/>
      <c r="C181" s="412" t="s">
        <v>2411</v>
      </c>
      <c r="D181" s="392"/>
      <c r="E181" s="412">
        <v>0.512</v>
      </c>
      <c r="F181" s="388"/>
      <c r="G181" s="389"/>
      <c r="H181" s="438"/>
      <c r="O181" s="382"/>
    </row>
    <row r="182" spans="1:15" ht="12">
      <c r="A182" s="383">
        <f>A179+1</f>
        <v>72</v>
      </c>
      <c r="B182" s="411" t="s">
        <v>2268</v>
      </c>
      <c r="C182" s="411" t="s">
        <v>2412</v>
      </c>
      <c r="D182" s="392" t="s">
        <v>324</v>
      </c>
      <c r="E182" s="388">
        <f>E183</f>
        <v>6</v>
      </c>
      <c r="F182" s="388"/>
      <c r="G182" s="389">
        <f>E182*F182</f>
        <v>0</v>
      </c>
      <c r="H182" s="438">
        <f>1.8*E182</f>
        <v>10.8</v>
      </c>
      <c r="O182" s="382"/>
    </row>
    <row r="183" spans="1:15" ht="12">
      <c r="A183" s="383"/>
      <c r="B183" s="411"/>
      <c r="C183" s="440" t="s">
        <v>2413</v>
      </c>
      <c r="D183" s="392"/>
      <c r="E183" s="412">
        <v>6</v>
      </c>
      <c r="F183" s="388"/>
      <c r="G183" s="389"/>
      <c r="H183" s="438"/>
      <c r="O183" s="382"/>
    </row>
    <row r="184" spans="1:15" ht="12">
      <c r="A184" s="383">
        <f>A182+1</f>
        <v>73</v>
      </c>
      <c r="B184" s="411" t="s">
        <v>2268</v>
      </c>
      <c r="C184" s="411" t="s">
        <v>2414</v>
      </c>
      <c r="D184" s="392" t="s">
        <v>246</v>
      </c>
      <c r="E184" s="388">
        <f>E185</f>
        <v>60</v>
      </c>
      <c r="F184" s="388"/>
      <c r="G184" s="389">
        <f>E184*F184</f>
        <v>0</v>
      </c>
      <c r="H184" s="438">
        <f>0.00015*E184</f>
        <v>0.009</v>
      </c>
      <c r="O184" s="382"/>
    </row>
    <row r="185" spans="1:15" ht="12">
      <c r="A185" s="383"/>
      <c r="B185" s="411"/>
      <c r="C185" s="440" t="s">
        <v>2415</v>
      </c>
      <c r="D185" s="392"/>
      <c r="E185" s="412">
        <v>60</v>
      </c>
      <c r="F185" s="388"/>
      <c r="G185" s="389"/>
      <c r="H185" s="438"/>
      <c r="O185" s="382"/>
    </row>
    <row r="186" spans="1:104" ht="12">
      <c r="A186" s="383">
        <f>A184+1</f>
        <v>74</v>
      </c>
      <c r="B186" s="411" t="s">
        <v>2268</v>
      </c>
      <c r="C186" s="411" t="s">
        <v>2416</v>
      </c>
      <c r="D186" s="392" t="s">
        <v>467</v>
      </c>
      <c r="E186" s="388">
        <f>E187+E188+E189</f>
        <v>2525</v>
      </c>
      <c r="F186" s="388"/>
      <c r="G186" s="389">
        <f>E186*F186</f>
        <v>0</v>
      </c>
      <c r="H186" s="438">
        <f>0.00001*E186</f>
        <v>0.02525</v>
      </c>
      <c r="O186" s="382">
        <v>2</v>
      </c>
      <c r="AA186" s="337">
        <v>3</v>
      </c>
      <c r="AB186" s="337">
        <v>1</v>
      </c>
      <c r="AC186" s="337">
        <v>10002</v>
      </c>
      <c r="AZ186" s="337">
        <v>1</v>
      </c>
      <c r="BA186" s="337" t="e">
        <f>IF(AZ186=1,#REF!,0)</f>
        <v>#REF!</v>
      </c>
      <c r="BB186" s="337">
        <f>IF(AZ186=2,#REF!,0)</f>
        <v>0</v>
      </c>
      <c r="BC186" s="337">
        <f>IF(AZ186=3,#REF!,0)</f>
        <v>0</v>
      </c>
      <c r="BD186" s="337">
        <f>IF(AZ186=4,#REF!,0)</f>
        <v>0</v>
      </c>
      <c r="BE186" s="337">
        <f>IF(AZ186=5,#REF!,0)</f>
        <v>0</v>
      </c>
      <c r="CZ186" s="337">
        <v>0</v>
      </c>
    </row>
    <row r="187" spans="1:15" ht="15" customHeight="1">
      <c r="A187" s="383"/>
      <c r="B187" s="411"/>
      <c r="C187" s="412" t="s">
        <v>2417</v>
      </c>
      <c r="D187" s="392"/>
      <c r="E187" s="412">
        <v>215</v>
      </c>
      <c r="F187" s="388"/>
      <c r="G187" s="389"/>
      <c r="H187" s="438"/>
      <c r="O187" s="382"/>
    </row>
    <row r="188" spans="1:15" ht="15" customHeight="1">
      <c r="A188" s="383"/>
      <c r="B188" s="411"/>
      <c r="C188" s="412" t="s">
        <v>2418</v>
      </c>
      <c r="D188" s="392"/>
      <c r="E188" s="412">
        <v>2280</v>
      </c>
      <c r="F188" s="388"/>
      <c r="G188" s="389"/>
      <c r="H188" s="438"/>
      <c r="O188" s="382"/>
    </row>
    <row r="189" spans="1:15" ht="15" customHeight="1">
      <c r="A189" s="383"/>
      <c r="B189" s="411"/>
      <c r="C189" s="412" t="s">
        <v>2359</v>
      </c>
      <c r="D189" s="392"/>
      <c r="E189" s="412">
        <v>30</v>
      </c>
      <c r="F189" s="388"/>
      <c r="G189" s="389"/>
      <c r="H189" s="438"/>
      <c r="O189" s="382"/>
    </row>
    <row r="190" spans="1:15" ht="15" customHeight="1">
      <c r="A190" s="383">
        <f>A186+1</f>
        <v>75</v>
      </c>
      <c r="B190" s="411" t="s">
        <v>2268</v>
      </c>
      <c r="C190" s="411" t="s">
        <v>2419</v>
      </c>
      <c r="D190" s="392" t="s">
        <v>944</v>
      </c>
      <c r="E190" s="388">
        <f>E191</f>
        <v>25.8</v>
      </c>
      <c r="F190" s="388"/>
      <c r="G190" s="389">
        <f>E190*F190</f>
        <v>0</v>
      </c>
      <c r="H190" s="438">
        <f>0.001*E190</f>
        <v>0.0258</v>
      </c>
      <c r="O190" s="382"/>
    </row>
    <row r="191" spans="1:15" ht="15" customHeight="1">
      <c r="A191" s="383"/>
      <c r="B191" s="411"/>
      <c r="C191" s="412" t="s">
        <v>2420</v>
      </c>
      <c r="D191" s="392"/>
      <c r="E191" s="412">
        <v>25.8</v>
      </c>
      <c r="F191" s="388"/>
      <c r="G191" s="389">
        <f>E191*F191</f>
        <v>0</v>
      </c>
      <c r="H191" s="438"/>
      <c r="O191" s="382"/>
    </row>
    <row r="192" spans="1:8" ht="12">
      <c r="A192" s="390"/>
      <c r="B192" s="399"/>
      <c r="C192" s="412"/>
      <c r="D192" s="392"/>
      <c r="E192" s="412"/>
      <c r="G192" s="389"/>
      <c r="H192" s="441">
        <f>SUM(H151:H191)</f>
        <v>78.04645000000001</v>
      </c>
    </row>
    <row r="193" spans="1:8" ht="12">
      <c r="A193" s="442"/>
      <c r="B193" s="443" t="s">
        <v>2421</v>
      </c>
      <c r="C193" s="444" t="str">
        <f>CONCATENATE(B15," ",C15)</f>
        <v>823-1 Plochy a úpravy území</v>
      </c>
      <c r="D193" s="445"/>
      <c r="E193" s="446"/>
      <c r="F193" s="447"/>
      <c r="G193" s="448">
        <f>SUM(G15:G191)</f>
        <v>0</v>
      </c>
      <c r="H193" s="447"/>
    </row>
    <row r="194" spans="1:8" ht="12">
      <c r="A194" s="376" t="s">
        <v>2233</v>
      </c>
      <c r="B194" s="377" t="s">
        <v>816</v>
      </c>
      <c r="C194" s="378" t="s">
        <v>2223</v>
      </c>
      <c r="D194" s="379"/>
      <c r="E194" s="380"/>
      <c r="F194" s="380"/>
      <c r="G194" s="381"/>
      <c r="H194" s="381"/>
    </row>
    <row r="195" spans="1:8" ht="16.8" customHeight="1">
      <c r="A195" s="383">
        <f>A190+1</f>
        <v>76</v>
      </c>
      <c r="B195" s="384" t="s">
        <v>2422</v>
      </c>
      <c r="C195" s="406" t="s">
        <v>2423</v>
      </c>
      <c r="D195" s="392" t="s">
        <v>413</v>
      </c>
      <c r="E195" s="430">
        <f>H192</f>
        <v>78.04645000000001</v>
      </c>
      <c r="F195" s="388"/>
      <c r="G195" s="389">
        <f>E195*F195</f>
        <v>0</v>
      </c>
      <c r="H195" s="410"/>
    </row>
    <row r="196" spans="1:8" ht="15" customHeight="1">
      <c r="A196" s="442"/>
      <c r="B196" s="443" t="s">
        <v>2421</v>
      </c>
      <c r="C196" s="444" t="s">
        <v>2424</v>
      </c>
      <c r="D196" s="445"/>
      <c r="E196" s="446"/>
      <c r="F196" s="447"/>
      <c r="G196" s="448">
        <f>SUM(G195:G195)</f>
        <v>0</v>
      </c>
      <c r="H196" s="448"/>
    </row>
  </sheetData>
  <mergeCells count="5">
    <mergeCell ref="A1:G1"/>
    <mergeCell ref="A3:B3"/>
    <mergeCell ref="A4:B4"/>
    <mergeCell ref="E4:G4"/>
    <mergeCell ref="A5:G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5" r:id="rId1"/>
  <headerFooter alignWithMargins="0">
    <oddFooter>&amp;CStránka &amp;P z &amp;N</oddFooter>
  </headerFooter>
  <rowBreaks count="1" manualBreakCount="1">
    <brk id="12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showGridLines="0" showZeros="0" zoomScale="120" zoomScaleNormal="120" workbookViewId="0" topLeftCell="A1">
      <selection activeCell="F16" sqref="F16"/>
    </sheetView>
  </sheetViews>
  <sheetFormatPr defaultColWidth="9.140625" defaultRowHeight="12"/>
  <cols>
    <col min="1" max="1" width="5.7109375" style="337" customWidth="1"/>
    <col min="2" max="2" width="14.8515625" style="337" customWidth="1"/>
    <col min="3" max="3" width="60.7109375" style="337" customWidth="1"/>
    <col min="4" max="4" width="8.28125" style="337" customWidth="1"/>
    <col min="5" max="5" width="10.57421875" style="372" customWidth="1"/>
    <col min="6" max="6" width="14.57421875" style="337" customWidth="1"/>
    <col min="7" max="7" width="15.421875" style="337" customWidth="1"/>
    <col min="8" max="8" width="8.8515625" style="337" customWidth="1"/>
    <col min="9" max="11" width="11.7109375" style="337" customWidth="1"/>
    <col min="12" max="12" width="7.57421875" style="337" customWidth="1"/>
    <col min="13" max="13" width="58.28125" style="337" customWidth="1"/>
    <col min="14" max="256" width="9.140625" style="337" customWidth="1"/>
    <col min="257" max="257" width="5.7109375" style="337" customWidth="1"/>
    <col min="258" max="258" width="14.8515625" style="337" customWidth="1"/>
    <col min="259" max="259" width="60.7109375" style="337" customWidth="1"/>
    <col min="260" max="260" width="8.28125" style="337" customWidth="1"/>
    <col min="261" max="261" width="10.57421875" style="337" customWidth="1"/>
    <col min="262" max="262" width="14.57421875" style="337" customWidth="1"/>
    <col min="263" max="263" width="15.421875" style="337" customWidth="1"/>
    <col min="264" max="264" width="8.8515625" style="337" customWidth="1"/>
    <col min="265" max="267" width="11.7109375" style="337" customWidth="1"/>
    <col min="268" max="268" width="7.57421875" style="337" customWidth="1"/>
    <col min="269" max="269" width="58.28125" style="337" customWidth="1"/>
    <col min="270" max="512" width="9.140625" style="337" customWidth="1"/>
    <col min="513" max="513" width="5.7109375" style="337" customWidth="1"/>
    <col min="514" max="514" width="14.8515625" style="337" customWidth="1"/>
    <col min="515" max="515" width="60.7109375" style="337" customWidth="1"/>
    <col min="516" max="516" width="8.28125" style="337" customWidth="1"/>
    <col min="517" max="517" width="10.57421875" style="337" customWidth="1"/>
    <col min="518" max="518" width="14.57421875" style="337" customWidth="1"/>
    <col min="519" max="519" width="15.421875" style="337" customWidth="1"/>
    <col min="520" max="520" width="8.8515625" style="337" customWidth="1"/>
    <col min="521" max="523" width="11.7109375" style="337" customWidth="1"/>
    <col min="524" max="524" width="7.57421875" style="337" customWidth="1"/>
    <col min="525" max="525" width="58.28125" style="337" customWidth="1"/>
    <col min="526" max="768" width="9.140625" style="337" customWidth="1"/>
    <col min="769" max="769" width="5.7109375" style="337" customWidth="1"/>
    <col min="770" max="770" width="14.8515625" style="337" customWidth="1"/>
    <col min="771" max="771" width="60.7109375" style="337" customWidth="1"/>
    <col min="772" max="772" width="8.28125" style="337" customWidth="1"/>
    <col min="773" max="773" width="10.57421875" style="337" customWidth="1"/>
    <col min="774" max="774" width="14.57421875" style="337" customWidth="1"/>
    <col min="775" max="775" width="15.421875" style="337" customWidth="1"/>
    <col min="776" max="776" width="8.8515625" style="337" customWidth="1"/>
    <col min="777" max="779" width="11.7109375" style="337" customWidth="1"/>
    <col min="780" max="780" width="7.57421875" style="337" customWidth="1"/>
    <col min="781" max="781" width="58.28125" style="337" customWidth="1"/>
    <col min="782" max="1024" width="9.140625" style="337" customWidth="1"/>
    <col min="1025" max="1025" width="5.7109375" style="337" customWidth="1"/>
    <col min="1026" max="1026" width="14.8515625" style="337" customWidth="1"/>
    <col min="1027" max="1027" width="60.7109375" style="337" customWidth="1"/>
    <col min="1028" max="1028" width="8.28125" style="337" customWidth="1"/>
    <col min="1029" max="1029" width="10.57421875" style="337" customWidth="1"/>
    <col min="1030" max="1030" width="14.57421875" style="337" customWidth="1"/>
    <col min="1031" max="1031" width="15.421875" style="337" customWidth="1"/>
    <col min="1032" max="1032" width="8.8515625" style="337" customWidth="1"/>
    <col min="1033" max="1035" width="11.7109375" style="337" customWidth="1"/>
    <col min="1036" max="1036" width="7.57421875" style="337" customWidth="1"/>
    <col min="1037" max="1037" width="58.28125" style="337" customWidth="1"/>
    <col min="1038" max="1280" width="9.140625" style="337" customWidth="1"/>
    <col min="1281" max="1281" width="5.7109375" style="337" customWidth="1"/>
    <col min="1282" max="1282" width="14.8515625" style="337" customWidth="1"/>
    <col min="1283" max="1283" width="60.7109375" style="337" customWidth="1"/>
    <col min="1284" max="1284" width="8.28125" style="337" customWidth="1"/>
    <col min="1285" max="1285" width="10.57421875" style="337" customWidth="1"/>
    <col min="1286" max="1286" width="14.57421875" style="337" customWidth="1"/>
    <col min="1287" max="1287" width="15.421875" style="337" customWidth="1"/>
    <col min="1288" max="1288" width="8.8515625" style="337" customWidth="1"/>
    <col min="1289" max="1291" width="11.7109375" style="337" customWidth="1"/>
    <col min="1292" max="1292" width="7.57421875" style="337" customWidth="1"/>
    <col min="1293" max="1293" width="58.28125" style="337" customWidth="1"/>
    <col min="1294" max="1536" width="9.140625" style="337" customWidth="1"/>
    <col min="1537" max="1537" width="5.7109375" style="337" customWidth="1"/>
    <col min="1538" max="1538" width="14.8515625" style="337" customWidth="1"/>
    <col min="1539" max="1539" width="60.7109375" style="337" customWidth="1"/>
    <col min="1540" max="1540" width="8.28125" style="337" customWidth="1"/>
    <col min="1541" max="1541" width="10.57421875" style="337" customWidth="1"/>
    <col min="1542" max="1542" width="14.57421875" style="337" customWidth="1"/>
    <col min="1543" max="1543" width="15.421875" style="337" customWidth="1"/>
    <col min="1544" max="1544" width="8.8515625" style="337" customWidth="1"/>
    <col min="1545" max="1547" width="11.7109375" style="337" customWidth="1"/>
    <col min="1548" max="1548" width="7.57421875" style="337" customWidth="1"/>
    <col min="1549" max="1549" width="58.28125" style="337" customWidth="1"/>
    <col min="1550" max="1792" width="9.140625" style="337" customWidth="1"/>
    <col min="1793" max="1793" width="5.7109375" style="337" customWidth="1"/>
    <col min="1794" max="1794" width="14.8515625" style="337" customWidth="1"/>
    <col min="1795" max="1795" width="60.7109375" style="337" customWidth="1"/>
    <col min="1796" max="1796" width="8.28125" style="337" customWidth="1"/>
    <col min="1797" max="1797" width="10.57421875" style="337" customWidth="1"/>
    <col min="1798" max="1798" width="14.57421875" style="337" customWidth="1"/>
    <col min="1799" max="1799" width="15.421875" style="337" customWidth="1"/>
    <col min="1800" max="1800" width="8.8515625" style="337" customWidth="1"/>
    <col min="1801" max="1803" width="11.7109375" style="337" customWidth="1"/>
    <col min="1804" max="1804" width="7.57421875" style="337" customWidth="1"/>
    <col min="1805" max="1805" width="58.28125" style="337" customWidth="1"/>
    <col min="1806" max="2048" width="9.140625" style="337" customWidth="1"/>
    <col min="2049" max="2049" width="5.7109375" style="337" customWidth="1"/>
    <col min="2050" max="2050" width="14.8515625" style="337" customWidth="1"/>
    <col min="2051" max="2051" width="60.7109375" style="337" customWidth="1"/>
    <col min="2052" max="2052" width="8.28125" style="337" customWidth="1"/>
    <col min="2053" max="2053" width="10.57421875" style="337" customWidth="1"/>
    <col min="2054" max="2054" width="14.57421875" style="337" customWidth="1"/>
    <col min="2055" max="2055" width="15.421875" style="337" customWidth="1"/>
    <col min="2056" max="2056" width="8.8515625" style="337" customWidth="1"/>
    <col min="2057" max="2059" width="11.7109375" style="337" customWidth="1"/>
    <col min="2060" max="2060" width="7.57421875" style="337" customWidth="1"/>
    <col min="2061" max="2061" width="58.28125" style="337" customWidth="1"/>
    <col min="2062" max="2304" width="9.140625" style="337" customWidth="1"/>
    <col min="2305" max="2305" width="5.7109375" style="337" customWidth="1"/>
    <col min="2306" max="2306" width="14.8515625" style="337" customWidth="1"/>
    <col min="2307" max="2307" width="60.7109375" style="337" customWidth="1"/>
    <col min="2308" max="2308" width="8.28125" style="337" customWidth="1"/>
    <col min="2309" max="2309" width="10.57421875" style="337" customWidth="1"/>
    <col min="2310" max="2310" width="14.57421875" style="337" customWidth="1"/>
    <col min="2311" max="2311" width="15.421875" style="337" customWidth="1"/>
    <col min="2312" max="2312" width="8.8515625" style="337" customWidth="1"/>
    <col min="2313" max="2315" width="11.7109375" style="337" customWidth="1"/>
    <col min="2316" max="2316" width="7.57421875" style="337" customWidth="1"/>
    <col min="2317" max="2317" width="58.28125" style="337" customWidth="1"/>
    <col min="2318" max="2560" width="9.140625" style="337" customWidth="1"/>
    <col min="2561" max="2561" width="5.7109375" style="337" customWidth="1"/>
    <col min="2562" max="2562" width="14.8515625" style="337" customWidth="1"/>
    <col min="2563" max="2563" width="60.7109375" style="337" customWidth="1"/>
    <col min="2564" max="2564" width="8.28125" style="337" customWidth="1"/>
    <col min="2565" max="2565" width="10.57421875" style="337" customWidth="1"/>
    <col min="2566" max="2566" width="14.57421875" style="337" customWidth="1"/>
    <col min="2567" max="2567" width="15.421875" style="337" customWidth="1"/>
    <col min="2568" max="2568" width="8.8515625" style="337" customWidth="1"/>
    <col min="2569" max="2571" width="11.7109375" style="337" customWidth="1"/>
    <col min="2572" max="2572" width="7.57421875" style="337" customWidth="1"/>
    <col min="2573" max="2573" width="58.28125" style="337" customWidth="1"/>
    <col min="2574" max="2816" width="9.140625" style="337" customWidth="1"/>
    <col min="2817" max="2817" width="5.7109375" style="337" customWidth="1"/>
    <col min="2818" max="2818" width="14.8515625" style="337" customWidth="1"/>
    <col min="2819" max="2819" width="60.7109375" style="337" customWidth="1"/>
    <col min="2820" max="2820" width="8.28125" style="337" customWidth="1"/>
    <col min="2821" max="2821" width="10.57421875" style="337" customWidth="1"/>
    <col min="2822" max="2822" width="14.57421875" style="337" customWidth="1"/>
    <col min="2823" max="2823" width="15.421875" style="337" customWidth="1"/>
    <col min="2824" max="2824" width="8.8515625" style="337" customWidth="1"/>
    <col min="2825" max="2827" width="11.7109375" style="337" customWidth="1"/>
    <col min="2828" max="2828" width="7.57421875" style="337" customWidth="1"/>
    <col min="2829" max="2829" width="58.28125" style="337" customWidth="1"/>
    <col min="2830" max="3072" width="9.140625" style="337" customWidth="1"/>
    <col min="3073" max="3073" width="5.7109375" style="337" customWidth="1"/>
    <col min="3074" max="3074" width="14.8515625" style="337" customWidth="1"/>
    <col min="3075" max="3075" width="60.7109375" style="337" customWidth="1"/>
    <col min="3076" max="3076" width="8.28125" style="337" customWidth="1"/>
    <col min="3077" max="3077" width="10.57421875" style="337" customWidth="1"/>
    <col min="3078" max="3078" width="14.57421875" style="337" customWidth="1"/>
    <col min="3079" max="3079" width="15.421875" style="337" customWidth="1"/>
    <col min="3080" max="3080" width="8.8515625" style="337" customWidth="1"/>
    <col min="3081" max="3083" width="11.7109375" style="337" customWidth="1"/>
    <col min="3084" max="3084" width="7.57421875" style="337" customWidth="1"/>
    <col min="3085" max="3085" width="58.28125" style="337" customWidth="1"/>
    <col min="3086" max="3328" width="9.140625" style="337" customWidth="1"/>
    <col min="3329" max="3329" width="5.7109375" style="337" customWidth="1"/>
    <col min="3330" max="3330" width="14.8515625" style="337" customWidth="1"/>
    <col min="3331" max="3331" width="60.7109375" style="337" customWidth="1"/>
    <col min="3332" max="3332" width="8.28125" style="337" customWidth="1"/>
    <col min="3333" max="3333" width="10.57421875" style="337" customWidth="1"/>
    <col min="3334" max="3334" width="14.57421875" style="337" customWidth="1"/>
    <col min="3335" max="3335" width="15.421875" style="337" customWidth="1"/>
    <col min="3336" max="3336" width="8.8515625" style="337" customWidth="1"/>
    <col min="3337" max="3339" width="11.7109375" style="337" customWidth="1"/>
    <col min="3340" max="3340" width="7.57421875" style="337" customWidth="1"/>
    <col min="3341" max="3341" width="58.28125" style="337" customWidth="1"/>
    <col min="3342" max="3584" width="9.140625" style="337" customWidth="1"/>
    <col min="3585" max="3585" width="5.7109375" style="337" customWidth="1"/>
    <col min="3586" max="3586" width="14.8515625" style="337" customWidth="1"/>
    <col min="3587" max="3587" width="60.7109375" style="337" customWidth="1"/>
    <col min="3588" max="3588" width="8.28125" style="337" customWidth="1"/>
    <col min="3589" max="3589" width="10.57421875" style="337" customWidth="1"/>
    <col min="3590" max="3590" width="14.57421875" style="337" customWidth="1"/>
    <col min="3591" max="3591" width="15.421875" style="337" customWidth="1"/>
    <col min="3592" max="3592" width="8.8515625" style="337" customWidth="1"/>
    <col min="3593" max="3595" width="11.7109375" style="337" customWidth="1"/>
    <col min="3596" max="3596" width="7.57421875" style="337" customWidth="1"/>
    <col min="3597" max="3597" width="58.28125" style="337" customWidth="1"/>
    <col min="3598" max="3840" width="9.140625" style="337" customWidth="1"/>
    <col min="3841" max="3841" width="5.7109375" style="337" customWidth="1"/>
    <col min="3842" max="3842" width="14.8515625" style="337" customWidth="1"/>
    <col min="3843" max="3843" width="60.7109375" style="337" customWidth="1"/>
    <col min="3844" max="3844" width="8.28125" style="337" customWidth="1"/>
    <col min="3845" max="3845" width="10.57421875" style="337" customWidth="1"/>
    <col min="3846" max="3846" width="14.57421875" style="337" customWidth="1"/>
    <col min="3847" max="3847" width="15.421875" style="337" customWidth="1"/>
    <col min="3848" max="3848" width="8.8515625" style="337" customWidth="1"/>
    <col min="3849" max="3851" width="11.7109375" style="337" customWidth="1"/>
    <col min="3852" max="3852" width="7.57421875" style="337" customWidth="1"/>
    <col min="3853" max="3853" width="58.28125" style="337" customWidth="1"/>
    <col min="3854" max="4096" width="9.140625" style="337" customWidth="1"/>
    <col min="4097" max="4097" width="5.7109375" style="337" customWidth="1"/>
    <col min="4098" max="4098" width="14.8515625" style="337" customWidth="1"/>
    <col min="4099" max="4099" width="60.7109375" style="337" customWidth="1"/>
    <col min="4100" max="4100" width="8.28125" style="337" customWidth="1"/>
    <col min="4101" max="4101" width="10.57421875" style="337" customWidth="1"/>
    <col min="4102" max="4102" width="14.57421875" style="337" customWidth="1"/>
    <col min="4103" max="4103" width="15.421875" style="337" customWidth="1"/>
    <col min="4104" max="4104" width="8.8515625" style="337" customWidth="1"/>
    <col min="4105" max="4107" width="11.7109375" style="337" customWidth="1"/>
    <col min="4108" max="4108" width="7.57421875" style="337" customWidth="1"/>
    <col min="4109" max="4109" width="58.28125" style="337" customWidth="1"/>
    <col min="4110" max="4352" width="9.140625" style="337" customWidth="1"/>
    <col min="4353" max="4353" width="5.7109375" style="337" customWidth="1"/>
    <col min="4354" max="4354" width="14.8515625" style="337" customWidth="1"/>
    <col min="4355" max="4355" width="60.7109375" style="337" customWidth="1"/>
    <col min="4356" max="4356" width="8.28125" style="337" customWidth="1"/>
    <col min="4357" max="4357" width="10.57421875" style="337" customWidth="1"/>
    <col min="4358" max="4358" width="14.57421875" style="337" customWidth="1"/>
    <col min="4359" max="4359" width="15.421875" style="337" customWidth="1"/>
    <col min="4360" max="4360" width="8.8515625" style="337" customWidth="1"/>
    <col min="4361" max="4363" width="11.7109375" style="337" customWidth="1"/>
    <col min="4364" max="4364" width="7.57421875" style="337" customWidth="1"/>
    <col min="4365" max="4365" width="58.28125" style="337" customWidth="1"/>
    <col min="4366" max="4608" width="9.140625" style="337" customWidth="1"/>
    <col min="4609" max="4609" width="5.7109375" style="337" customWidth="1"/>
    <col min="4610" max="4610" width="14.8515625" style="337" customWidth="1"/>
    <col min="4611" max="4611" width="60.7109375" style="337" customWidth="1"/>
    <col min="4612" max="4612" width="8.28125" style="337" customWidth="1"/>
    <col min="4613" max="4613" width="10.57421875" style="337" customWidth="1"/>
    <col min="4614" max="4614" width="14.57421875" style="337" customWidth="1"/>
    <col min="4615" max="4615" width="15.421875" style="337" customWidth="1"/>
    <col min="4616" max="4616" width="8.8515625" style="337" customWidth="1"/>
    <col min="4617" max="4619" width="11.7109375" style="337" customWidth="1"/>
    <col min="4620" max="4620" width="7.57421875" style="337" customWidth="1"/>
    <col min="4621" max="4621" width="58.28125" style="337" customWidth="1"/>
    <col min="4622" max="4864" width="9.140625" style="337" customWidth="1"/>
    <col min="4865" max="4865" width="5.7109375" style="337" customWidth="1"/>
    <col min="4866" max="4866" width="14.8515625" style="337" customWidth="1"/>
    <col min="4867" max="4867" width="60.7109375" style="337" customWidth="1"/>
    <col min="4868" max="4868" width="8.28125" style="337" customWidth="1"/>
    <col min="4869" max="4869" width="10.57421875" style="337" customWidth="1"/>
    <col min="4870" max="4870" width="14.57421875" style="337" customWidth="1"/>
    <col min="4871" max="4871" width="15.421875" style="337" customWidth="1"/>
    <col min="4872" max="4872" width="8.8515625" style="337" customWidth="1"/>
    <col min="4873" max="4875" width="11.7109375" style="337" customWidth="1"/>
    <col min="4876" max="4876" width="7.57421875" style="337" customWidth="1"/>
    <col min="4877" max="4877" width="58.28125" style="337" customWidth="1"/>
    <col min="4878" max="5120" width="9.140625" style="337" customWidth="1"/>
    <col min="5121" max="5121" width="5.7109375" style="337" customWidth="1"/>
    <col min="5122" max="5122" width="14.8515625" style="337" customWidth="1"/>
    <col min="5123" max="5123" width="60.7109375" style="337" customWidth="1"/>
    <col min="5124" max="5124" width="8.28125" style="337" customWidth="1"/>
    <col min="5125" max="5125" width="10.57421875" style="337" customWidth="1"/>
    <col min="5126" max="5126" width="14.57421875" style="337" customWidth="1"/>
    <col min="5127" max="5127" width="15.421875" style="337" customWidth="1"/>
    <col min="5128" max="5128" width="8.8515625" style="337" customWidth="1"/>
    <col min="5129" max="5131" width="11.7109375" style="337" customWidth="1"/>
    <col min="5132" max="5132" width="7.57421875" style="337" customWidth="1"/>
    <col min="5133" max="5133" width="58.28125" style="337" customWidth="1"/>
    <col min="5134" max="5376" width="9.140625" style="337" customWidth="1"/>
    <col min="5377" max="5377" width="5.7109375" style="337" customWidth="1"/>
    <col min="5378" max="5378" width="14.8515625" style="337" customWidth="1"/>
    <col min="5379" max="5379" width="60.7109375" style="337" customWidth="1"/>
    <col min="5380" max="5380" width="8.28125" style="337" customWidth="1"/>
    <col min="5381" max="5381" width="10.57421875" style="337" customWidth="1"/>
    <col min="5382" max="5382" width="14.57421875" style="337" customWidth="1"/>
    <col min="5383" max="5383" width="15.421875" style="337" customWidth="1"/>
    <col min="5384" max="5384" width="8.8515625" style="337" customWidth="1"/>
    <col min="5385" max="5387" width="11.7109375" style="337" customWidth="1"/>
    <col min="5388" max="5388" width="7.57421875" style="337" customWidth="1"/>
    <col min="5389" max="5389" width="58.28125" style="337" customWidth="1"/>
    <col min="5390" max="5632" width="9.140625" style="337" customWidth="1"/>
    <col min="5633" max="5633" width="5.7109375" style="337" customWidth="1"/>
    <col min="5634" max="5634" width="14.8515625" style="337" customWidth="1"/>
    <col min="5635" max="5635" width="60.7109375" style="337" customWidth="1"/>
    <col min="5636" max="5636" width="8.28125" style="337" customWidth="1"/>
    <col min="5637" max="5637" width="10.57421875" style="337" customWidth="1"/>
    <col min="5638" max="5638" width="14.57421875" style="337" customWidth="1"/>
    <col min="5639" max="5639" width="15.421875" style="337" customWidth="1"/>
    <col min="5640" max="5640" width="8.8515625" style="337" customWidth="1"/>
    <col min="5641" max="5643" width="11.7109375" style="337" customWidth="1"/>
    <col min="5644" max="5644" width="7.57421875" style="337" customWidth="1"/>
    <col min="5645" max="5645" width="58.28125" style="337" customWidth="1"/>
    <col min="5646" max="5888" width="9.140625" style="337" customWidth="1"/>
    <col min="5889" max="5889" width="5.7109375" style="337" customWidth="1"/>
    <col min="5890" max="5890" width="14.8515625" style="337" customWidth="1"/>
    <col min="5891" max="5891" width="60.7109375" style="337" customWidth="1"/>
    <col min="5892" max="5892" width="8.28125" style="337" customWidth="1"/>
    <col min="5893" max="5893" width="10.57421875" style="337" customWidth="1"/>
    <col min="5894" max="5894" width="14.57421875" style="337" customWidth="1"/>
    <col min="5895" max="5895" width="15.421875" style="337" customWidth="1"/>
    <col min="5896" max="5896" width="8.8515625" style="337" customWidth="1"/>
    <col min="5897" max="5899" width="11.7109375" style="337" customWidth="1"/>
    <col min="5900" max="5900" width="7.57421875" style="337" customWidth="1"/>
    <col min="5901" max="5901" width="58.28125" style="337" customWidth="1"/>
    <col min="5902" max="6144" width="9.140625" style="337" customWidth="1"/>
    <col min="6145" max="6145" width="5.7109375" style="337" customWidth="1"/>
    <col min="6146" max="6146" width="14.8515625" style="337" customWidth="1"/>
    <col min="6147" max="6147" width="60.7109375" style="337" customWidth="1"/>
    <col min="6148" max="6148" width="8.28125" style="337" customWidth="1"/>
    <col min="6149" max="6149" width="10.57421875" style="337" customWidth="1"/>
    <col min="6150" max="6150" width="14.57421875" style="337" customWidth="1"/>
    <col min="6151" max="6151" width="15.421875" style="337" customWidth="1"/>
    <col min="6152" max="6152" width="8.8515625" style="337" customWidth="1"/>
    <col min="6153" max="6155" width="11.7109375" style="337" customWidth="1"/>
    <col min="6156" max="6156" width="7.57421875" style="337" customWidth="1"/>
    <col min="6157" max="6157" width="58.28125" style="337" customWidth="1"/>
    <col min="6158" max="6400" width="9.140625" style="337" customWidth="1"/>
    <col min="6401" max="6401" width="5.7109375" style="337" customWidth="1"/>
    <col min="6402" max="6402" width="14.8515625" style="337" customWidth="1"/>
    <col min="6403" max="6403" width="60.7109375" style="337" customWidth="1"/>
    <col min="6404" max="6404" width="8.28125" style="337" customWidth="1"/>
    <col min="6405" max="6405" width="10.57421875" style="337" customWidth="1"/>
    <col min="6406" max="6406" width="14.57421875" style="337" customWidth="1"/>
    <col min="6407" max="6407" width="15.421875" style="337" customWidth="1"/>
    <col min="6408" max="6408" width="8.8515625" style="337" customWidth="1"/>
    <col min="6409" max="6411" width="11.7109375" style="337" customWidth="1"/>
    <col min="6412" max="6412" width="7.57421875" style="337" customWidth="1"/>
    <col min="6413" max="6413" width="58.28125" style="337" customWidth="1"/>
    <col min="6414" max="6656" width="9.140625" style="337" customWidth="1"/>
    <col min="6657" max="6657" width="5.7109375" style="337" customWidth="1"/>
    <col min="6658" max="6658" width="14.8515625" style="337" customWidth="1"/>
    <col min="6659" max="6659" width="60.7109375" style="337" customWidth="1"/>
    <col min="6660" max="6660" width="8.28125" style="337" customWidth="1"/>
    <col min="6661" max="6661" width="10.57421875" style="337" customWidth="1"/>
    <col min="6662" max="6662" width="14.57421875" style="337" customWidth="1"/>
    <col min="6663" max="6663" width="15.421875" style="337" customWidth="1"/>
    <col min="6664" max="6664" width="8.8515625" style="337" customWidth="1"/>
    <col min="6665" max="6667" width="11.7109375" style="337" customWidth="1"/>
    <col min="6668" max="6668" width="7.57421875" style="337" customWidth="1"/>
    <col min="6669" max="6669" width="58.28125" style="337" customWidth="1"/>
    <col min="6670" max="6912" width="9.140625" style="337" customWidth="1"/>
    <col min="6913" max="6913" width="5.7109375" style="337" customWidth="1"/>
    <col min="6914" max="6914" width="14.8515625" style="337" customWidth="1"/>
    <col min="6915" max="6915" width="60.7109375" style="337" customWidth="1"/>
    <col min="6916" max="6916" width="8.28125" style="337" customWidth="1"/>
    <col min="6917" max="6917" width="10.57421875" style="337" customWidth="1"/>
    <col min="6918" max="6918" width="14.57421875" style="337" customWidth="1"/>
    <col min="6919" max="6919" width="15.421875" style="337" customWidth="1"/>
    <col min="6920" max="6920" width="8.8515625" style="337" customWidth="1"/>
    <col min="6921" max="6923" width="11.7109375" style="337" customWidth="1"/>
    <col min="6924" max="6924" width="7.57421875" style="337" customWidth="1"/>
    <col min="6925" max="6925" width="58.28125" style="337" customWidth="1"/>
    <col min="6926" max="7168" width="9.140625" style="337" customWidth="1"/>
    <col min="7169" max="7169" width="5.7109375" style="337" customWidth="1"/>
    <col min="7170" max="7170" width="14.8515625" style="337" customWidth="1"/>
    <col min="7171" max="7171" width="60.7109375" style="337" customWidth="1"/>
    <col min="7172" max="7172" width="8.28125" style="337" customWidth="1"/>
    <col min="7173" max="7173" width="10.57421875" style="337" customWidth="1"/>
    <col min="7174" max="7174" width="14.57421875" style="337" customWidth="1"/>
    <col min="7175" max="7175" width="15.421875" style="337" customWidth="1"/>
    <col min="7176" max="7176" width="8.8515625" style="337" customWidth="1"/>
    <col min="7177" max="7179" width="11.7109375" style="337" customWidth="1"/>
    <col min="7180" max="7180" width="7.57421875" style="337" customWidth="1"/>
    <col min="7181" max="7181" width="58.28125" style="337" customWidth="1"/>
    <col min="7182" max="7424" width="9.140625" style="337" customWidth="1"/>
    <col min="7425" max="7425" width="5.7109375" style="337" customWidth="1"/>
    <col min="7426" max="7426" width="14.8515625" style="337" customWidth="1"/>
    <col min="7427" max="7427" width="60.7109375" style="337" customWidth="1"/>
    <col min="7428" max="7428" width="8.28125" style="337" customWidth="1"/>
    <col min="7429" max="7429" width="10.57421875" style="337" customWidth="1"/>
    <col min="7430" max="7430" width="14.57421875" style="337" customWidth="1"/>
    <col min="7431" max="7431" width="15.421875" style="337" customWidth="1"/>
    <col min="7432" max="7432" width="8.8515625" style="337" customWidth="1"/>
    <col min="7433" max="7435" width="11.7109375" style="337" customWidth="1"/>
    <col min="7436" max="7436" width="7.57421875" style="337" customWidth="1"/>
    <col min="7437" max="7437" width="58.28125" style="337" customWidth="1"/>
    <col min="7438" max="7680" width="9.140625" style="337" customWidth="1"/>
    <col min="7681" max="7681" width="5.7109375" style="337" customWidth="1"/>
    <col min="7682" max="7682" width="14.8515625" style="337" customWidth="1"/>
    <col min="7683" max="7683" width="60.7109375" style="337" customWidth="1"/>
    <col min="7684" max="7684" width="8.28125" style="337" customWidth="1"/>
    <col min="7685" max="7685" width="10.57421875" style="337" customWidth="1"/>
    <col min="7686" max="7686" width="14.57421875" style="337" customWidth="1"/>
    <col min="7687" max="7687" width="15.421875" style="337" customWidth="1"/>
    <col min="7688" max="7688" width="8.8515625" style="337" customWidth="1"/>
    <col min="7689" max="7691" width="11.7109375" style="337" customWidth="1"/>
    <col min="7692" max="7692" width="7.57421875" style="337" customWidth="1"/>
    <col min="7693" max="7693" width="58.28125" style="337" customWidth="1"/>
    <col min="7694" max="7936" width="9.140625" style="337" customWidth="1"/>
    <col min="7937" max="7937" width="5.7109375" style="337" customWidth="1"/>
    <col min="7938" max="7938" width="14.8515625" style="337" customWidth="1"/>
    <col min="7939" max="7939" width="60.7109375" style="337" customWidth="1"/>
    <col min="7940" max="7940" width="8.28125" style="337" customWidth="1"/>
    <col min="7941" max="7941" width="10.57421875" style="337" customWidth="1"/>
    <col min="7942" max="7942" width="14.57421875" style="337" customWidth="1"/>
    <col min="7943" max="7943" width="15.421875" style="337" customWidth="1"/>
    <col min="7944" max="7944" width="8.8515625" style="337" customWidth="1"/>
    <col min="7945" max="7947" width="11.7109375" style="337" customWidth="1"/>
    <col min="7948" max="7948" width="7.57421875" style="337" customWidth="1"/>
    <col min="7949" max="7949" width="58.28125" style="337" customWidth="1"/>
    <col min="7950" max="8192" width="9.140625" style="337" customWidth="1"/>
    <col min="8193" max="8193" width="5.7109375" style="337" customWidth="1"/>
    <col min="8194" max="8194" width="14.8515625" style="337" customWidth="1"/>
    <col min="8195" max="8195" width="60.7109375" style="337" customWidth="1"/>
    <col min="8196" max="8196" width="8.28125" style="337" customWidth="1"/>
    <col min="8197" max="8197" width="10.57421875" style="337" customWidth="1"/>
    <col min="8198" max="8198" width="14.57421875" style="337" customWidth="1"/>
    <col min="8199" max="8199" width="15.421875" style="337" customWidth="1"/>
    <col min="8200" max="8200" width="8.8515625" style="337" customWidth="1"/>
    <col min="8201" max="8203" width="11.7109375" style="337" customWidth="1"/>
    <col min="8204" max="8204" width="7.57421875" style="337" customWidth="1"/>
    <col min="8205" max="8205" width="58.28125" style="337" customWidth="1"/>
    <col min="8206" max="8448" width="9.140625" style="337" customWidth="1"/>
    <col min="8449" max="8449" width="5.7109375" style="337" customWidth="1"/>
    <col min="8450" max="8450" width="14.8515625" style="337" customWidth="1"/>
    <col min="8451" max="8451" width="60.7109375" style="337" customWidth="1"/>
    <col min="8452" max="8452" width="8.28125" style="337" customWidth="1"/>
    <col min="8453" max="8453" width="10.57421875" style="337" customWidth="1"/>
    <col min="8454" max="8454" width="14.57421875" style="337" customWidth="1"/>
    <col min="8455" max="8455" width="15.421875" style="337" customWidth="1"/>
    <col min="8456" max="8456" width="8.8515625" style="337" customWidth="1"/>
    <col min="8457" max="8459" width="11.7109375" style="337" customWidth="1"/>
    <col min="8460" max="8460" width="7.57421875" style="337" customWidth="1"/>
    <col min="8461" max="8461" width="58.28125" style="337" customWidth="1"/>
    <col min="8462" max="8704" width="9.140625" style="337" customWidth="1"/>
    <col min="8705" max="8705" width="5.7109375" style="337" customWidth="1"/>
    <col min="8706" max="8706" width="14.8515625" style="337" customWidth="1"/>
    <col min="8707" max="8707" width="60.7109375" style="337" customWidth="1"/>
    <col min="8708" max="8708" width="8.28125" style="337" customWidth="1"/>
    <col min="8709" max="8709" width="10.57421875" style="337" customWidth="1"/>
    <col min="8710" max="8710" width="14.57421875" style="337" customWidth="1"/>
    <col min="8711" max="8711" width="15.421875" style="337" customWidth="1"/>
    <col min="8712" max="8712" width="8.8515625" style="337" customWidth="1"/>
    <col min="8713" max="8715" width="11.7109375" style="337" customWidth="1"/>
    <col min="8716" max="8716" width="7.57421875" style="337" customWidth="1"/>
    <col min="8717" max="8717" width="58.28125" style="337" customWidth="1"/>
    <col min="8718" max="8960" width="9.140625" style="337" customWidth="1"/>
    <col min="8961" max="8961" width="5.7109375" style="337" customWidth="1"/>
    <col min="8962" max="8962" width="14.8515625" style="337" customWidth="1"/>
    <col min="8963" max="8963" width="60.7109375" style="337" customWidth="1"/>
    <col min="8964" max="8964" width="8.28125" style="337" customWidth="1"/>
    <col min="8965" max="8965" width="10.57421875" style="337" customWidth="1"/>
    <col min="8966" max="8966" width="14.57421875" style="337" customWidth="1"/>
    <col min="8967" max="8967" width="15.421875" style="337" customWidth="1"/>
    <col min="8968" max="8968" width="8.8515625" style="337" customWidth="1"/>
    <col min="8969" max="8971" width="11.7109375" style="337" customWidth="1"/>
    <col min="8972" max="8972" width="7.57421875" style="337" customWidth="1"/>
    <col min="8973" max="8973" width="58.28125" style="337" customWidth="1"/>
    <col min="8974" max="9216" width="9.140625" style="337" customWidth="1"/>
    <col min="9217" max="9217" width="5.7109375" style="337" customWidth="1"/>
    <col min="9218" max="9218" width="14.8515625" style="337" customWidth="1"/>
    <col min="9219" max="9219" width="60.7109375" style="337" customWidth="1"/>
    <col min="9220" max="9220" width="8.28125" style="337" customWidth="1"/>
    <col min="9221" max="9221" width="10.57421875" style="337" customWidth="1"/>
    <col min="9222" max="9222" width="14.57421875" style="337" customWidth="1"/>
    <col min="9223" max="9223" width="15.421875" style="337" customWidth="1"/>
    <col min="9224" max="9224" width="8.8515625" style="337" customWidth="1"/>
    <col min="9225" max="9227" width="11.7109375" style="337" customWidth="1"/>
    <col min="9228" max="9228" width="7.57421875" style="337" customWidth="1"/>
    <col min="9229" max="9229" width="58.28125" style="337" customWidth="1"/>
    <col min="9230" max="9472" width="9.140625" style="337" customWidth="1"/>
    <col min="9473" max="9473" width="5.7109375" style="337" customWidth="1"/>
    <col min="9474" max="9474" width="14.8515625" style="337" customWidth="1"/>
    <col min="9475" max="9475" width="60.7109375" style="337" customWidth="1"/>
    <col min="9476" max="9476" width="8.28125" style="337" customWidth="1"/>
    <col min="9477" max="9477" width="10.57421875" style="337" customWidth="1"/>
    <col min="9478" max="9478" width="14.57421875" style="337" customWidth="1"/>
    <col min="9479" max="9479" width="15.421875" style="337" customWidth="1"/>
    <col min="9480" max="9480" width="8.8515625" style="337" customWidth="1"/>
    <col min="9481" max="9483" width="11.7109375" style="337" customWidth="1"/>
    <col min="9484" max="9484" width="7.57421875" style="337" customWidth="1"/>
    <col min="9485" max="9485" width="58.28125" style="337" customWidth="1"/>
    <col min="9486" max="9728" width="9.140625" style="337" customWidth="1"/>
    <col min="9729" max="9729" width="5.7109375" style="337" customWidth="1"/>
    <col min="9730" max="9730" width="14.8515625" style="337" customWidth="1"/>
    <col min="9731" max="9731" width="60.7109375" style="337" customWidth="1"/>
    <col min="9732" max="9732" width="8.28125" style="337" customWidth="1"/>
    <col min="9733" max="9733" width="10.57421875" style="337" customWidth="1"/>
    <col min="9734" max="9734" width="14.57421875" style="337" customWidth="1"/>
    <col min="9735" max="9735" width="15.421875" style="337" customWidth="1"/>
    <col min="9736" max="9736" width="8.8515625" style="337" customWidth="1"/>
    <col min="9737" max="9739" width="11.7109375" style="337" customWidth="1"/>
    <col min="9740" max="9740" width="7.57421875" style="337" customWidth="1"/>
    <col min="9741" max="9741" width="58.28125" style="337" customWidth="1"/>
    <col min="9742" max="9984" width="9.140625" style="337" customWidth="1"/>
    <col min="9985" max="9985" width="5.7109375" style="337" customWidth="1"/>
    <col min="9986" max="9986" width="14.8515625" style="337" customWidth="1"/>
    <col min="9987" max="9987" width="60.7109375" style="337" customWidth="1"/>
    <col min="9988" max="9988" width="8.28125" style="337" customWidth="1"/>
    <col min="9989" max="9989" width="10.57421875" style="337" customWidth="1"/>
    <col min="9990" max="9990" width="14.57421875" style="337" customWidth="1"/>
    <col min="9991" max="9991" width="15.421875" style="337" customWidth="1"/>
    <col min="9992" max="9992" width="8.8515625" style="337" customWidth="1"/>
    <col min="9993" max="9995" width="11.7109375" style="337" customWidth="1"/>
    <col min="9996" max="9996" width="7.57421875" style="337" customWidth="1"/>
    <col min="9997" max="9997" width="58.28125" style="337" customWidth="1"/>
    <col min="9998" max="10240" width="9.140625" style="337" customWidth="1"/>
    <col min="10241" max="10241" width="5.7109375" style="337" customWidth="1"/>
    <col min="10242" max="10242" width="14.8515625" style="337" customWidth="1"/>
    <col min="10243" max="10243" width="60.7109375" style="337" customWidth="1"/>
    <col min="10244" max="10244" width="8.28125" style="337" customWidth="1"/>
    <col min="10245" max="10245" width="10.57421875" style="337" customWidth="1"/>
    <col min="10246" max="10246" width="14.57421875" style="337" customWidth="1"/>
    <col min="10247" max="10247" width="15.421875" style="337" customWidth="1"/>
    <col min="10248" max="10248" width="8.8515625" style="337" customWidth="1"/>
    <col min="10249" max="10251" width="11.7109375" style="337" customWidth="1"/>
    <col min="10252" max="10252" width="7.57421875" style="337" customWidth="1"/>
    <col min="10253" max="10253" width="58.28125" style="337" customWidth="1"/>
    <col min="10254" max="10496" width="9.140625" style="337" customWidth="1"/>
    <col min="10497" max="10497" width="5.7109375" style="337" customWidth="1"/>
    <col min="10498" max="10498" width="14.8515625" style="337" customWidth="1"/>
    <col min="10499" max="10499" width="60.7109375" style="337" customWidth="1"/>
    <col min="10500" max="10500" width="8.28125" style="337" customWidth="1"/>
    <col min="10501" max="10501" width="10.57421875" style="337" customWidth="1"/>
    <col min="10502" max="10502" width="14.57421875" style="337" customWidth="1"/>
    <col min="10503" max="10503" width="15.421875" style="337" customWidth="1"/>
    <col min="10504" max="10504" width="8.8515625" style="337" customWidth="1"/>
    <col min="10505" max="10507" width="11.7109375" style="337" customWidth="1"/>
    <col min="10508" max="10508" width="7.57421875" style="337" customWidth="1"/>
    <col min="10509" max="10509" width="58.28125" style="337" customWidth="1"/>
    <col min="10510" max="10752" width="9.140625" style="337" customWidth="1"/>
    <col min="10753" max="10753" width="5.7109375" style="337" customWidth="1"/>
    <col min="10754" max="10754" width="14.8515625" style="337" customWidth="1"/>
    <col min="10755" max="10755" width="60.7109375" style="337" customWidth="1"/>
    <col min="10756" max="10756" width="8.28125" style="337" customWidth="1"/>
    <col min="10757" max="10757" width="10.57421875" style="337" customWidth="1"/>
    <col min="10758" max="10758" width="14.57421875" style="337" customWidth="1"/>
    <col min="10759" max="10759" width="15.421875" style="337" customWidth="1"/>
    <col min="10760" max="10760" width="8.8515625" style="337" customWidth="1"/>
    <col min="10761" max="10763" width="11.7109375" style="337" customWidth="1"/>
    <col min="10764" max="10764" width="7.57421875" style="337" customWidth="1"/>
    <col min="10765" max="10765" width="58.28125" style="337" customWidth="1"/>
    <col min="10766" max="11008" width="9.140625" style="337" customWidth="1"/>
    <col min="11009" max="11009" width="5.7109375" style="337" customWidth="1"/>
    <col min="11010" max="11010" width="14.8515625" style="337" customWidth="1"/>
    <col min="11011" max="11011" width="60.7109375" style="337" customWidth="1"/>
    <col min="11012" max="11012" width="8.28125" style="337" customWidth="1"/>
    <col min="11013" max="11013" width="10.57421875" style="337" customWidth="1"/>
    <col min="11014" max="11014" width="14.57421875" style="337" customWidth="1"/>
    <col min="11015" max="11015" width="15.421875" style="337" customWidth="1"/>
    <col min="11016" max="11016" width="8.8515625" style="337" customWidth="1"/>
    <col min="11017" max="11019" width="11.7109375" style="337" customWidth="1"/>
    <col min="11020" max="11020" width="7.57421875" style="337" customWidth="1"/>
    <col min="11021" max="11021" width="58.28125" style="337" customWidth="1"/>
    <col min="11022" max="11264" width="9.140625" style="337" customWidth="1"/>
    <col min="11265" max="11265" width="5.7109375" style="337" customWidth="1"/>
    <col min="11266" max="11266" width="14.8515625" style="337" customWidth="1"/>
    <col min="11267" max="11267" width="60.7109375" style="337" customWidth="1"/>
    <col min="11268" max="11268" width="8.28125" style="337" customWidth="1"/>
    <col min="11269" max="11269" width="10.57421875" style="337" customWidth="1"/>
    <col min="11270" max="11270" width="14.57421875" style="337" customWidth="1"/>
    <col min="11271" max="11271" width="15.421875" style="337" customWidth="1"/>
    <col min="11272" max="11272" width="8.8515625" style="337" customWidth="1"/>
    <col min="11273" max="11275" width="11.7109375" style="337" customWidth="1"/>
    <col min="11276" max="11276" width="7.57421875" style="337" customWidth="1"/>
    <col min="11277" max="11277" width="58.28125" style="337" customWidth="1"/>
    <col min="11278" max="11520" width="9.140625" style="337" customWidth="1"/>
    <col min="11521" max="11521" width="5.7109375" style="337" customWidth="1"/>
    <col min="11522" max="11522" width="14.8515625" style="337" customWidth="1"/>
    <col min="11523" max="11523" width="60.7109375" style="337" customWidth="1"/>
    <col min="11524" max="11524" width="8.28125" style="337" customWidth="1"/>
    <col min="11525" max="11525" width="10.57421875" style="337" customWidth="1"/>
    <col min="11526" max="11526" width="14.57421875" style="337" customWidth="1"/>
    <col min="11527" max="11527" width="15.421875" style="337" customWidth="1"/>
    <col min="11528" max="11528" width="8.8515625" style="337" customWidth="1"/>
    <col min="11529" max="11531" width="11.7109375" style="337" customWidth="1"/>
    <col min="11532" max="11532" width="7.57421875" style="337" customWidth="1"/>
    <col min="11533" max="11533" width="58.28125" style="337" customWidth="1"/>
    <col min="11534" max="11776" width="9.140625" style="337" customWidth="1"/>
    <col min="11777" max="11777" width="5.7109375" style="337" customWidth="1"/>
    <col min="11778" max="11778" width="14.8515625" style="337" customWidth="1"/>
    <col min="11779" max="11779" width="60.7109375" style="337" customWidth="1"/>
    <col min="11780" max="11780" width="8.28125" style="337" customWidth="1"/>
    <col min="11781" max="11781" width="10.57421875" style="337" customWidth="1"/>
    <col min="11782" max="11782" width="14.57421875" style="337" customWidth="1"/>
    <col min="11783" max="11783" width="15.421875" style="337" customWidth="1"/>
    <col min="11784" max="11784" width="8.8515625" style="337" customWidth="1"/>
    <col min="11785" max="11787" width="11.7109375" style="337" customWidth="1"/>
    <col min="11788" max="11788" width="7.57421875" style="337" customWidth="1"/>
    <col min="11789" max="11789" width="58.28125" style="337" customWidth="1"/>
    <col min="11790" max="12032" width="9.140625" style="337" customWidth="1"/>
    <col min="12033" max="12033" width="5.7109375" style="337" customWidth="1"/>
    <col min="12034" max="12034" width="14.8515625" style="337" customWidth="1"/>
    <col min="12035" max="12035" width="60.7109375" style="337" customWidth="1"/>
    <col min="12036" max="12036" width="8.28125" style="337" customWidth="1"/>
    <col min="12037" max="12037" width="10.57421875" style="337" customWidth="1"/>
    <col min="12038" max="12038" width="14.57421875" style="337" customWidth="1"/>
    <col min="12039" max="12039" width="15.421875" style="337" customWidth="1"/>
    <col min="12040" max="12040" width="8.8515625" style="337" customWidth="1"/>
    <col min="12041" max="12043" width="11.7109375" style="337" customWidth="1"/>
    <col min="12044" max="12044" width="7.57421875" style="337" customWidth="1"/>
    <col min="12045" max="12045" width="58.28125" style="337" customWidth="1"/>
    <col min="12046" max="12288" width="9.140625" style="337" customWidth="1"/>
    <col min="12289" max="12289" width="5.7109375" style="337" customWidth="1"/>
    <col min="12290" max="12290" width="14.8515625" style="337" customWidth="1"/>
    <col min="12291" max="12291" width="60.7109375" style="337" customWidth="1"/>
    <col min="12292" max="12292" width="8.28125" style="337" customWidth="1"/>
    <col min="12293" max="12293" width="10.57421875" style="337" customWidth="1"/>
    <col min="12294" max="12294" width="14.57421875" style="337" customWidth="1"/>
    <col min="12295" max="12295" width="15.421875" style="337" customWidth="1"/>
    <col min="12296" max="12296" width="8.8515625" style="337" customWidth="1"/>
    <col min="12297" max="12299" width="11.7109375" style="337" customWidth="1"/>
    <col min="12300" max="12300" width="7.57421875" style="337" customWidth="1"/>
    <col min="12301" max="12301" width="58.28125" style="337" customWidth="1"/>
    <col min="12302" max="12544" width="9.140625" style="337" customWidth="1"/>
    <col min="12545" max="12545" width="5.7109375" style="337" customWidth="1"/>
    <col min="12546" max="12546" width="14.8515625" style="337" customWidth="1"/>
    <col min="12547" max="12547" width="60.7109375" style="337" customWidth="1"/>
    <col min="12548" max="12548" width="8.28125" style="337" customWidth="1"/>
    <col min="12549" max="12549" width="10.57421875" style="337" customWidth="1"/>
    <col min="12550" max="12550" width="14.57421875" style="337" customWidth="1"/>
    <col min="12551" max="12551" width="15.421875" style="337" customWidth="1"/>
    <col min="12552" max="12552" width="8.8515625" style="337" customWidth="1"/>
    <col min="12553" max="12555" width="11.7109375" style="337" customWidth="1"/>
    <col min="12556" max="12556" width="7.57421875" style="337" customWidth="1"/>
    <col min="12557" max="12557" width="58.28125" style="337" customWidth="1"/>
    <col min="12558" max="12800" width="9.140625" style="337" customWidth="1"/>
    <col min="12801" max="12801" width="5.7109375" style="337" customWidth="1"/>
    <col min="12802" max="12802" width="14.8515625" style="337" customWidth="1"/>
    <col min="12803" max="12803" width="60.7109375" style="337" customWidth="1"/>
    <col min="12804" max="12804" width="8.28125" style="337" customWidth="1"/>
    <col min="12805" max="12805" width="10.57421875" style="337" customWidth="1"/>
    <col min="12806" max="12806" width="14.57421875" style="337" customWidth="1"/>
    <col min="12807" max="12807" width="15.421875" style="337" customWidth="1"/>
    <col min="12808" max="12808" width="8.8515625" style="337" customWidth="1"/>
    <col min="12809" max="12811" width="11.7109375" style="337" customWidth="1"/>
    <col min="12812" max="12812" width="7.57421875" style="337" customWidth="1"/>
    <col min="12813" max="12813" width="58.28125" style="337" customWidth="1"/>
    <col min="12814" max="13056" width="9.140625" style="337" customWidth="1"/>
    <col min="13057" max="13057" width="5.7109375" style="337" customWidth="1"/>
    <col min="13058" max="13058" width="14.8515625" style="337" customWidth="1"/>
    <col min="13059" max="13059" width="60.7109375" style="337" customWidth="1"/>
    <col min="13060" max="13060" width="8.28125" style="337" customWidth="1"/>
    <col min="13061" max="13061" width="10.57421875" style="337" customWidth="1"/>
    <col min="13062" max="13062" width="14.57421875" style="337" customWidth="1"/>
    <col min="13063" max="13063" width="15.421875" style="337" customWidth="1"/>
    <col min="13064" max="13064" width="8.8515625" style="337" customWidth="1"/>
    <col min="13065" max="13067" width="11.7109375" style="337" customWidth="1"/>
    <col min="13068" max="13068" width="7.57421875" style="337" customWidth="1"/>
    <col min="13069" max="13069" width="58.28125" style="337" customWidth="1"/>
    <col min="13070" max="13312" width="9.140625" style="337" customWidth="1"/>
    <col min="13313" max="13313" width="5.7109375" style="337" customWidth="1"/>
    <col min="13314" max="13314" width="14.8515625" style="337" customWidth="1"/>
    <col min="13315" max="13315" width="60.7109375" style="337" customWidth="1"/>
    <col min="13316" max="13316" width="8.28125" style="337" customWidth="1"/>
    <col min="13317" max="13317" width="10.57421875" style="337" customWidth="1"/>
    <col min="13318" max="13318" width="14.57421875" style="337" customWidth="1"/>
    <col min="13319" max="13319" width="15.421875" style="337" customWidth="1"/>
    <col min="13320" max="13320" width="8.8515625" style="337" customWidth="1"/>
    <col min="13321" max="13323" width="11.7109375" style="337" customWidth="1"/>
    <col min="13324" max="13324" width="7.57421875" style="337" customWidth="1"/>
    <col min="13325" max="13325" width="58.28125" style="337" customWidth="1"/>
    <col min="13326" max="13568" width="9.140625" style="337" customWidth="1"/>
    <col min="13569" max="13569" width="5.7109375" style="337" customWidth="1"/>
    <col min="13570" max="13570" width="14.8515625" style="337" customWidth="1"/>
    <col min="13571" max="13571" width="60.7109375" style="337" customWidth="1"/>
    <col min="13572" max="13572" width="8.28125" style="337" customWidth="1"/>
    <col min="13573" max="13573" width="10.57421875" style="337" customWidth="1"/>
    <col min="13574" max="13574" width="14.57421875" style="337" customWidth="1"/>
    <col min="13575" max="13575" width="15.421875" style="337" customWidth="1"/>
    <col min="13576" max="13576" width="8.8515625" style="337" customWidth="1"/>
    <col min="13577" max="13579" width="11.7109375" style="337" customWidth="1"/>
    <col min="13580" max="13580" width="7.57421875" style="337" customWidth="1"/>
    <col min="13581" max="13581" width="58.28125" style="337" customWidth="1"/>
    <col min="13582" max="13824" width="9.140625" style="337" customWidth="1"/>
    <col min="13825" max="13825" width="5.7109375" style="337" customWidth="1"/>
    <col min="13826" max="13826" width="14.8515625" style="337" customWidth="1"/>
    <col min="13827" max="13827" width="60.7109375" style="337" customWidth="1"/>
    <col min="13828" max="13828" width="8.28125" style="337" customWidth="1"/>
    <col min="13829" max="13829" width="10.57421875" style="337" customWidth="1"/>
    <col min="13830" max="13830" width="14.57421875" style="337" customWidth="1"/>
    <col min="13831" max="13831" width="15.421875" style="337" customWidth="1"/>
    <col min="13832" max="13832" width="8.8515625" style="337" customWidth="1"/>
    <col min="13833" max="13835" width="11.7109375" style="337" customWidth="1"/>
    <col min="13836" max="13836" width="7.57421875" style="337" customWidth="1"/>
    <col min="13837" max="13837" width="58.28125" style="337" customWidth="1"/>
    <col min="13838" max="14080" width="9.140625" style="337" customWidth="1"/>
    <col min="14081" max="14081" width="5.7109375" style="337" customWidth="1"/>
    <col min="14082" max="14082" width="14.8515625" style="337" customWidth="1"/>
    <col min="14083" max="14083" width="60.7109375" style="337" customWidth="1"/>
    <col min="14084" max="14084" width="8.28125" style="337" customWidth="1"/>
    <col min="14085" max="14085" width="10.57421875" style="337" customWidth="1"/>
    <col min="14086" max="14086" width="14.57421875" style="337" customWidth="1"/>
    <col min="14087" max="14087" width="15.421875" style="337" customWidth="1"/>
    <col min="14088" max="14088" width="8.8515625" style="337" customWidth="1"/>
    <col min="14089" max="14091" width="11.7109375" style="337" customWidth="1"/>
    <col min="14092" max="14092" width="7.57421875" style="337" customWidth="1"/>
    <col min="14093" max="14093" width="58.28125" style="337" customWidth="1"/>
    <col min="14094" max="14336" width="9.140625" style="337" customWidth="1"/>
    <col min="14337" max="14337" width="5.7109375" style="337" customWidth="1"/>
    <col min="14338" max="14338" width="14.8515625" style="337" customWidth="1"/>
    <col min="14339" max="14339" width="60.7109375" style="337" customWidth="1"/>
    <col min="14340" max="14340" width="8.28125" style="337" customWidth="1"/>
    <col min="14341" max="14341" width="10.57421875" style="337" customWidth="1"/>
    <col min="14342" max="14342" width="14.57421875" style="337" customWidth="1"/>
    <col min="14343" max="14343" width="15.421875" style="337" customWidth="1"/>
    <col min="14344" max="14344" width="8.8515625" style="337" customWidth="1"/>
    <col min="14345" max="14347" width="11.7109375" style="337" customWidth="1"/>
    <col min="14348" max="14348" width="7.57421875" style="337" customWidth="1"/>
    <col min="14349" max="14349" width="58.28125" style="337" customWidth="1"/>
    <col min="14350" max="14592" width="9.140625" style="337" customWidth="1"/>
    <col min="14593" max="14593" width="5.7109375" style="337" customWidth="1"/>
    <col min="14594" max="14594" width="14.8515625" style="337" customWidth="1"/>
    <col min="14595" max="14595" width="60.7109375" style="337" customWidth="1"/>
    <col min="14596" max="14596" width="8.28125" style="337" customWidth="1"/>
    <col min="14597" max="14597" width="10.57421875" style="337" customWidth="1"/>
    <col min="14598" max="14598" width="14.57421875" style="337" customWidth="1"/>
    <col min="14599" max="14599" width="15.421875" style="337" customWidth="1"/>
    <col min="14600" max="14600" width="8.8515625" style="337" customWidth="1"/>
    <col min="14601" max="14603" width="11.7109375" style="337" customWidth="1"/>
    <col min="14604" max="14604" width="7.57421875" style="337" customWidth="1"/>
    <col min="14605" max="14605" width="58.28125" style="337" customWidth="1"/>
    <col min="14606" max="14848" width="9.140625" style="337" customWidth="1"/>
    <col min="14849" max="14849" width="5.7109375" style="337" customWidth="1"/>
    <col min="14850" max="14850" width="14.8515625" style="337" customWidth="1"/>
    <col min="14851" max="14851" width="60.7109375" style="337" customWidth="1"/>
    <col min="14852" max="14852" width="8.28125" style="337" customWidth="1"/>
    <col min="14853" max="14853" width="10.57421875" style="337" customWidth="1"/>
    <col min="14854" max="14854" width="14.57421875" style="337" customWidth="1"/>
    <col min="14855" max="14855" width="15.421875" style="337" customWidth="1"/>
    <col min="14856" max="14856" width="8.8515625" style="337" customWidth="1"/>
    <col min="14857" max="14859" width="11.7109375" style="337" customWidth="1"/>
    <col min="14860" max="14860" width="7.57421875" style="337" customWidth="1"/>
    <col min="14861" max="14861" width="58.28125" style="337" customWidth="1"/>
    <col min="14862" max="15104" width="9.140625" style="337" customWidth="1"/>
    <col min="15105" max="15105" width="5.7109375" style="337" customWidth="1"/>
    <col min="15106" max="15106" width="14.8515625" style="337" customWidth="1"/>
    <col min="15107" max="15107" width="60.7109375" style="337" customWidth="1"/>
    <col min="15108" max="15108" width="8.28125" style="337" customWidth="1"/>
    <col min="15109" max="15109" width="10.57421875" style="337" customWidth="1"/>
    <col min="15110" max="15110" width="14.57421875" style="337" customWidth="1"/>
    <col min="15111" max="15111" width="15.421875" style="337" customWidth="1"/>
    <col min="15112" max="15112" width="8.8515625" style="337" customWidth="1"/>
    <col min="15113" max="15115" width="11.7109375" style="337" customWidth="1"/>
    <col min="15116" max="15116" width="7.57421875" style="337" customWidth="1"/>
    <col min="15117" max="15117" width="58.28125" style="337" customWidth="1"/>
    <col min="15118" max="15360" width="9.140625" style="337" customWidth="1"/>
    <col min="15361" max="15361" width="5.7109375" style="337" customWidth="1"/>
    <col min="15362" max="15362" width="14.8515625" style="337" customWidth="1"/>
    <col min="15363" max="15363" width="60.7109375" style="337" customWidth="1"/>
    <col min="15364" max="15364" width="8.28125" style="337" customWidth="1"/>
    <col min="15365" max="15365" width="10.57421875" style="337" customWidth="1"/>
    <col min="15366" max="15366" width="14.57421875" style="337" customWidth="1"/>
    <col min="15367" max="15367" width="15.421875" style="337" customWidth="1"/>
    <col min="15368" max="15368" width="8.8515625" style="337" customWidth="1"/>
    <col min="15369" max="15371" width="11.7109375" style="337" customWidth="1"/>
    <col min="15372" max="15372" width="7.57421875" style="337" customWidth="1"/>
    <col min="15373" max="15373" width="58.28125" style="337" customWidth="1"/>
    <col min="15374" max="15616" width="9.140625" style="337" customWidth="1"/>
    <col min="15617" max="15617" width="5.7109375" style="337" customWidth="1"/>
    <col min="15618" max="15618" width="14.8515625" style="337" customWidth="1"/>
    <col min="15619" max="15619" width="60.7109375" style="337" customWidth="1"/>
    <col min="15620" max="15620" width="8.28125" style="337" customWidth="1"/>
    <col min="15621" max="15621" width="10.57421875" style="337" customWidth="1"/>
    <col min="15622" max="15622" width="14.57421875" style="337" customWidth="1"/>
    <col min="15623" max="15623" width="15.421875" style="337" customWidth="1"/>
    <col min="15624" max="15624" width="8.8515625" style="337" customWidth="1"/>
    <col min="15625" max="15627" width="11.7109375" style="337" customWidth="1"/>
    <col min="15628" max="15628" width="7.57421875" style="337" customWidth="1"/>
    <col min="15629" max="15629" width="58.28125" style="337" customWidth="1"/>
    <col min="15630" max="15872" width="9.140625" style="337" customWidth="1"/>
    <col min="15873" max="15873" width="5.7109375" style="337" customWidth="1"/>
    <col min="15874" max="15874" width="14.8515625" style="337" customWidth="1"/>
    <col min="15875" max="15875" width="60.7109375" style="337" customWidth="1"/>
    <col min="15876" max="15876" width="8.28125" style="337" customWidth="1"/>
    <col min="15877" max="15877" width="10.57421875" style="337" customWidth="1"/>
    <col min="15878" max="15878" width="14.57421875" style="337" customWidth="1"/>
    <col min="15879" max="15879" width="15.421875" style="337" customWidth="1"/>
    <col min="15880" max="15880" width="8.8515625" style="337" customWidth="1"/>
    <col min="15881" max="15883" width="11.7109375" style="337" customWidth="1"/>
    <col min="15884" max="15884" width="7.57421875" style="337" customWidth="1"/>
    <col min="15885" max="15885" width="58.28125" style="337" customWidth="1"/>
    <col min="15886" max="16128" width="9.140625" style="337" customWidth="1"/>
    <col min="16129" max="16129" width="5.7109375" style="337" customWidth="1"/>
    <col min="16130" max="16130" width="14.8515625" style="337" customWidth="1"/>
    <col min="16131" max="16131" width="60.7109375" style="337" customWidth="1"/>
    <col min="16132" max="16132" width="8.28125" style="337" customWidth="1"/>
    <col min="16133" max="16133" width="10.57421875" style="337" customWidth="1"/>
    <col min="16134" max="16134" width="14.57421875" style="337" customWidth="1"/>
    <col min="16135" max="16135" width="15.421875" style="337" customWidth="1"/>
    <col min="16136" max="16136" width="8.8515625" style="337" customWidth="1"/>
    <col min="16137" max="16139" width="11.7109375" style="337" customWidth="1"/>
    <col min="16140" max="16140" width="7.57421875" style="337" customWidth="1"/>
    <col min="16141" max="16141" width="58.28125" style="337" customWidth="1"/>
    <col min="16142" max="16384" width="9.140625" style="337" customWidth="1"/>
  </cols>
  <sheetData>
    <row r="1" spans="1:7" ht="15.6">
      <c r="A1" s="554" t="s">
        <v>2214</v>
      </c>
      <c r="B1" s="554"/>
      <c r="C1" s="554"/>
      <c r="D1" s="554"/>
      <c r="E1" s="554"/>
      <c r="F1" s="554"/>
      <c r="G1" s="554"/>
    </row>
    <row r="2" spans="1:8" ht="14.25" customHeight="1" thickBot="1">
      <c r="A2" s="337" t="s">
        <v>2215</v>
      </c>
      <c r="B2" s="338"/>
      <c r="C2" s="339"/>
      <c r="D2" s="339"/>
      <c r="E2" s="340"/>
      <c r="F2" s="339"/>
      <c r="G2" s="339"/>
      <c r="H2" s="341"/>
    </row>
    <row r="3" spans="1:8" ht="25.8" customHeight="1" thickBot="1" thickTop="1">
      <c r="A3" s="555" t="s">
        <v>2216</v>
      </c>
      <c r="B3" s="556"/>
      <c r="C3" s="342" t="s">
        <v>2217</v>
      </c>
      <c r="D3" s="342"/>
      <c r="E3" s="343"/>
      <c r="F3" s="344"/>
      <c r="G3" s="345"/>
      <c r="H3" s="345"/>
    </row>
    <row r="4" spans="1:8" ht="31.2" customHeight="1" thickBot="1" thickTop="1">
      <c r="A4" s="557" t="s">
        <v>2218</v>
      </c>
      <c r="B4" s="558"/>
      <c r="C4" s="346" t="s">
        <v>2425</v>
      </c>
      <c r="D4" s="347"/>
      <c r="E4" s="559"/>
      <c r="F4" s="560"/>
      <c r="G4" s="561"/>
      <c r="H4" s="348"/>
    </row>
    <row r="5" spans="1:8" ht="18" thickTop="1">
      <c r="A5" s="562" t="s">
        <v>2220</v>
      </c>
      <c r="B5" s="562"/>
      <c r="C5" s="562"/>
      <c r="D5" s="562"/>
      <c r="E5" s="562"/>
      <c r="F5" s="562"/>
      <c r="G5" s="562"/>
      <c r="H5" s="349"/>
    </row>
    <row r="6" spans="1:8" ht="13.8" thickBot="1">
      <c r="A6" s="349"/>
      <c r="B6" s="349"/>
      <c r="C6" s="349"/>
      <c r="D6" s="349"/>
      <c r="E6" s="349"/>
      <c r="F6" s="349"/>
      <c r="G6" s="349"/>
      <c r="H6" s="349"/>
    </row>
    <row r="7" spans="1:8" ht="13.8" thickBot="1">
      <c r="A7" s="350"/>
      <c r="B7" s="351" t="s">
        <v>1876</v>
      </c>
      <c r="C7" s="351"/>
      <c r="D7" s="351"/>
      <c r="E7" s="352"/>
      <c r="F7" s="353" t="s">
        <v>241</v>
      </c>
      <c r="G7" s="353" t="s">
        <v>2015</v>
      </c>
      <c r="H7" s="353"/>
    </row>
    <row r="8" spans="1:8" ht="12">
      <c r="A8" s="354" t="s">
        <v>816</v>
      </c>
      <c r="B8" s="354" t="s">
        <v>2223</v>
      </c>
      <c r="C8" s="349"/>
      <c r="D8" s="349"/>
      <c r="E8" s="355"/>
      <c r="F8" s="356">
        <f>G17</f>
        <v>0</v>
      </c>
      <c r="G8" s="356"/>
      <c r="H8" s="357"/>
    </row>
    <row r="9" spans="1:8" ht="13.8" thickBot="1">
      <c r="A9" s="354" t="s">
        <v>821</v>
      </c>
      <c r="B9" s="354" t="s">
        <v>2426</v>
      </c>
      <c r="C9" s="349"/>
      <c r="D9" s="349"/>
      <c r="E9" s="355"/>
      <c r="F9" s="356">
        <f>G62</f>
        <v>0</v>
      </c>
      <c r="G9" s="356"/>
      <c r="H9" s="357"/>
    </row>
    <row r="10" spans="1:8" ht="13.8" thickBot="1">
      <c r="A10" s="358"/>
      <c r="B10" s="351" t="s">
        <v>2224</v>
      </c>
      <c r="C10" s="351"/>
      <c r="D10" s="351"/>
      <c r="E10" s="352"/>
      <c r="F10" s="359">
        <f>SUM(F8:F9)</f>
        <v>0</v>
      </c>
      <c r="G10" s="360">
        <v>0</v>
      </c>
      <c r="H10" s="361"/>
    </row>
    <row r="11" spans="1:8" ht="13.8" thickBot="1">
      <c r="A11" s="362"/>
      <c r="B11" s="362" t="s">
        <v>2037</v>
      </c>
      <c r="C11" s="362"/>
      <c r="D11" s="362"/>
      <c r="E11" s="363"/>
      <c r="F11" s="364">
        <f>F10*21%</f>
        <v>0</v>
      </c>
      <c r="G11" s="363"/>
      <c r="H11" s="365"/>
    </row>
    <row r="12" spans="1:8" ht="13.8" thickBot="1">
      <c r="A12" s="366"/>
      <c r="B12" s="367" t="s">
        <v>2225</v>
      </c>
      <c r="C12" s="367"/>
      <c r="D12" s="367"/>
      <c r="E12" s="368"/>
      <c r="F12" s="367"/>
      <c r="G12" s="369">
        <f>F10+F11</f>
        <v>0</v>
      </c>
      <c r="H12" s="370"/>
    </row>
    <row r="13" ht="12">
      <c r="A13" s="371"/>
    </row>
    <row r="14" spans="1:8" ht="12">
      <c r="A14" s="373" t="s">
        <v>2226</v>
      </c>
      <c r="B14" s="374" t="s">
        <v>2227</v>
      </c>
      <c r="C14" s="374" t="s">
        <v>2228</v>
      </c>
      <c r="D14" s="374" t="s">
        <v>131</v>
      </c>
      <c r="E14" s="374" t="s">
        <v>2229</v>
      </c>
      <c r="F14" s="374" t="s">
        <v>2230</v>
      </c>
      <c r="G14" s="375" t="s">
        <v>2231</v>
      </c>
      <c r="H14" s="375" t="s">
        <v>2232</v>
      </c>
    </row>
    <row r="15" spans="1:8" ht="12">
      <c r="A15" s="376" t="s">
        <v>2233</v>
      </c>
      <c r="B15" s="377" t="s">
        <v>816</v>
      </c>
      <c r="C15" s="378" t="s">
        <v>2223</v>
      </c>
      <c r="D15" s="379"/>
      <c r="E15" s="380"/>
      <c r="F15" s="380"/>
      <c r="G15" s="381"/>
      <c r="H15" s="381"/>
    </row>
    <row r="16" spans="1:8" ht="16.8" customHeight="1">
      <c r="A16" s="383">
        <v>1</v>
      </c>
      <c r="B16" s="384" t="s">
        <v>2422</v>
      </c>
      <c r="C16" s="406" t="s">
        <v>2423</v>
      </c>
      <c r="D16" s="392" t="s">
        <v>413</v>
      </c>
      <c r="E16" s="430">
        <f>H45+H54</f>
        <v>26.432380000000002</v>
      </c>
      <c r="F16" s="388"/>
      <c r="G16" s="389">
        <f>E16*F16</f>
        <v>0</v>
      </c>
      <c r="H16" s="410"/>
    </row>
    <row r="17" spans="1:8" ht="15" customHeight="1">
      <c r="A17" s="442"/>
      <c r="B17" s="443" t="s">
        <v>2421</v>
      </c>
      <c r="C17" s="444" t="s">
        <v>2424</v>
      </c>
      <c r="D17" s="445"/>
      <c r="E17" s="446"/>
      <c r="F17" s="447"/>
      <c r="G17" s="448">
        <f>SUM(G16:G16)</f>
        <v>0</v>
      </c>
      <c r="H17" s="448"/>
    </row>
    <row r="18" spans="1:53" ht="12">
      <c r="A18" s="376" t="s">
        <v>2233</v>
      </c>
      <c r="B18" s="377" t="s">
        <v>821</v>
      </c>
      <c r="C18" s="378" t="s">
        <v>2427</v>
      </c>
      <c r="D18" s="379"/>
      <c r="E18" s="380"/>
      <c r="F18" s="380"/>
      <c r="G18" s="381"/>
      <c r="H18" s="381"/>
      <c r="AA18" s="337">
        <v>1</v>
      </c>
      <c r="AB18" s="337">
        <v>1</v>
      </c>
      <c r="AC18" s="337">
        <v>1</v>
      </c>
      <c r="BA18" s="337">
        <f>IF(AZ18=1,#REF!,0)</f>
        <v>0</v>
      </c>
    </row>
    <row r="19" spans="1:8" ht="12">
      <c r="A19" s="449"/>
      <c r="B19" s="423"/>
      <c r="C19" s="400" t="s">
        <v>2428</v>
      </c>
      <c r="D19" s="392"/>
      <c r="F19" s="424"/>
      <c r="G19" s="422"/>
      <c r="H19" s="425"/>
    </row>
    <row r="20" spans="1:8" ht="15" customHeight="1">
      <c r="A20" s="383">
        <f>A16+1</f>
        <v>2</v>
      </c>
      <c r="B20" s="411" t="s">
        <v>2429</v>
      </c>
      <c r="C20" s="450" t="s">
        <v>2430</v>
      </c>
      <c r="D20" s="392" t="s">
        <v>1280</v>
      </c>
      <c r="E20" s="398">
        <f>E21</f>
        <v>129</v>
      </c>
      <c r="F20" s="388"/>
      <c r="G20" s="397">
        <f>E20*F20</f>
        <v>0</v>
      </c>
      <c r="H20" s="425"/>
    </row>
    <row r="21" spans="1:8" ht="15" customHeight="1">
      <c r="A21" s="383"/>
      <c r="B21" s="451"/>
      <c r="C21" s="400" t="s">
        <v>2431</v>
      </c>
      <c r="D21" s="452"/>
      <c r="E21" s="412">
        <v>129</v>
      </c>
      <c r="F21" s="453"/>
      <c r="G21" s="454"/>
      <c r="H21" s="425"/>
    </row>
    <row r="22" spans="1:8" ht="15" customHeight="1">
      <c r="A22" s="383">
        <f>A20+1</f>
        <v>3</v>
      </c>
      <c r="B22" s="411" t="s">
        <v>2432</v>
      </c>
      <c r="C22" s="450" t="s">
        <v>2433</v>
      </c>
      <c r="D22" s="392" t="s">
        <v>246</v>
      </c>
      <c r="E22" s="398">
        <f>E23</f>
        <v>402</v>
      </c>
      <c r="F22" s="388"/>
      <c r="G22" s="397">
        <f>E22*F22</f>
        <v>0</v>
      </c>
      <c r="H22" s="389"/>
    </row>
    <row r="23" spans="1:8" ht="12">
      <c r="A23" s="383"/>
      <c r="B23" s="451"/>
      <c r="C23" s="400" t="s">
        <v>2434</v>
      </c>
      <c r="D23" s="452"/>
      <c r="E23" s="412">
        <v>402</v>
      </c>
      <c r="F23" s="453"/>
      <c r="G23" s="454"/>
      <c r="H23" s="389"/>
    </row>
    <row r="24" spans="1:8" ht="12">
      <c r="A24" s="383">
        <f aca="true" t="shared" si="0" ref="A24:A30">A22+1</f>
        <v>4</v>
      </c>
      <c r="B24" s="411" t="s">
        <v>2435</v>
      </c>
      <c r="C24" s="450" t="s">
        <v>2436</v>
      </c>
      <c r="D24" s="392" t="s">
        <v>246</v>
      </c>
      <c r="E24" s="398">
        <f>E25</f>
        <v>5790</v>
      </c>
      <c r="F24" s="388"/>
      <c r="G24" s="397">
        <f>E24*F24</f>
        <v>0</v>
      </c>
      <c r="H24" s="389"/>
    </row>
    <row r="25" spans="1:8" ht="12">
      <c r="A25" s="383"/>
      <c r="B25" s="451"/>
      <c r="C25" s="400" t="s">
        <v>2437</v>
      </c>
      <c r="D25" s="452"/>
      <c r="E25" s="412">
        <v>5790</v>
      </c>
      <c r="F25" s="453"/>
      <c r="G25" s="454"/>
      <c r="H25" s="389"/>
    </row>
    <row r="26" spans="1:8" ht="12">
      <c r="A26" s="383">
        <f t="shared" si="0"/>
        <v>5</v>
      </c>
      <c r="B26" s="411" t="s">
        <v>2438</v>
      </c>
      <c r="C26" s="450" t="s">
        <v>2439</v>
      </c>
      <c r="D26" s="392" t="s">
        <v>246</v>
      </c>
      <c r="E26" s="398">
        <f>E27</f>
        <v>145.92</v>
      </c>
      <c r="F26" s="388"/>
      <c r="G26" s="397">
        <f>E26*F26</f>
        <v>0</v>
      </c>
      <c r="H26" s="389"/>
    </row>
    <row r="27" spans="1:8" ht="12">
      <c r="A27" s="383"/>
      <c r="B27" s="451"/>
      <c r="C27" s="412" t="s">
        <v>2440</v>
      </c>
      <c r="D27" s="452"/>
      <c r="E27" s="412">
        <v>145.92</v>
      </c>
      <c r="F27" s="453"/>
      <c r="G27" s="454"/>
      <c r="H27" s="389"/>
    </row>
    <row r="28" spans="1:8" ht="12">
      <c r="A28" s="383">
        <f t="shared" si="0"/>
        <v>6</v>
      </c>
      <c r="B28" s="411" t="s">
        <v>2441</v>
      </c>
      <c r="C28" s="450" t="s">
        <v>2442</v>
      </c>
      <c r="D28" s="392" t="s">
        <v>246</v>
      </c>
      <c r="E28" s="398">
        <f>E29</f>
        <v>90</v>
      </c>
      <c r="F28" s="388"/>
      <c r="G28" s="397">
        <f>E28*F28</f>
        <v>0</v>
      </c>
      <c r="H28" s="389"/>
    </row>
    <row r="29" spans="1:8" ht="12">
      <c r="A29" s="383"/>
      <c r="B29" s="451"/>
      <c r="C29" s="412" t="s">
        <v>2443</v>
      </c>
      <c r="D29" s="452"/>
      <c r="E29" s="412">
        <v>90</v>
      </c>
      <c r="F29" s="453"/>
      <c r="G29" s="454"/>
      <c r="H29" s="389"/>
    </row>
    <row r="30" spans="1:8" ht="15" customHeight="1">
      <c r="A30" s="383">
        <f t="shared" si="0"/>
        <v>7</v>
      </c>
      <c r="B30" s="411" t="s">
        <v>2444</v>
      </c>
      <c r="C30" s="450" t="s">
        <v>2445</v>
      </c>
      <c r="D30" s="392" t="s">
        <v>324</v>
      </c>
      <c r="E30" s="398">
        <f>E31+E32+E33+K30</f>
        <v>357.6</v>
      </c>
      <c r="F30" s="388"/>
      <c r="G30" s="397">
        <f>E30*F30</f>
        <v>0</v>
      </c>
      <c r="H30" s="425"/>
    </row>
    <row r="31" spans="1:8" ht="15" customHeight="1">
      <c r="A31" s="383"/>
      <c r="B31" s="411"/>
      <c r="C31" s="412" t="s">
        <v>2446</v>
      </c>
      <c r="D31" s="392"/>
      <c r="E31" s="412">
        <v>82.56</v>
      </c>
      <c r="F31" s="388"/>
      <c r="G31" s="397"/>
      <c r="H31" s="425"/>
    </row>
    <row r="32" spans="1:8" ht="15" customHeight="1">
      <c r="A32" s="383"/>
      <c r="B32" s="411"/>
      <c r="C32" s="412" t="s">
        <v>2447</v>
      </c>
      <c r="D32" s="392"/>
      <c r="E32" s="412">
        <v>273.6</v>
      </c>
      <c r="F32" s="388"/>
      <c r="G32" s="397"/>
      <c r="H32" s="425"/>
    </row>
    <row r="33" spans="1:8" ht="15" customHeight="1">
      <c r="A33" s="383"/>
      <c r="B33" s="411"/>
      <c r="C33" s="412" t="s">
        <v>2448</v>
      </c>
      <c r="D33" s="392"/>
      <c r="E33" s="412">
        <v>1.44</v>
      </c>
      <c r="F33" s="388"/>
      <c r="G33" s="397"/>
      <c r="H33" s="425"/>
    </row>
    <row r="34" spans="1:8" ht="15" customHeight="1">
      <c r="A34" s="390">
        <f>A30+1</f>
        <v>8</v>
      </c>
      <c r="B34" s="399" t="s">
        <v>2360</v>
      </c>
      <c r="C34" s="411" t="s">
        <v>2361</v>
      </c>
      <c r="D34" s="392" t="s">
        <v>324</v>
      </c>
      <c r="E34" s="398">
        <f>E35</f>
        <v>357.6</v>
      </c>
      <c r="F34" s="388"/>
      <c r="G34" s="389">
        <f>E34*F34</f>
        <v>0</v>
      </c>
      <c r="H34" s="425"/>
    </row>
    <row r="35" spans="1:8" ht="15" customHeight="1">
      <c r="A35" s="390"/>
      <c r="B35" s="451"/>
      <c r="C35" s="400" t="s">
        <v>2449</v>
      </c>
      <c r="D35" s="452"/>
      <c r="E35" s="412">
        <v>357.6</v>
      </c>
      <c r="F35" s="453"/>
      <c r="G35" s="454"/>
      <c r="H35" s="425"/>
    </row>
    <row r="36" spans="1:8" ht="15" customHeight="1">
      <c r="A36" s="390">
        <f>A34+1</f>
        <v>9</v>
      </c>
      <c r="B36" s="399" t="s">
        <v>2345</v>
      </c>
      <c r="C36" s="411" t="s">
        <v>2346</v>
      </c>
      <c r="D36" s="392" t="s">
        <v>413</v>
      </c>
      <c r="E36" s="427">
        <f>E37</f>
        <v>0.00134</v>
      </c>
      <c r="F36" s="388"/>
      <c r="G36" s="389">
        <f>E36*F36</f>
        <v>0</v>
      </c>
      <c r="H36" s="389"/>
    </row>
    <row r="37" spans="1:8" ht="14.4" customHeight="1">
      <c r="A37" s="390"/>
      <c r="B37" s="455"/>
      <c r="C37" s="412" t="s">
        <v>2450</v>
      </c>
      <c r="D37" s="392"/>
      <c r="E37" s="412">
        <v>0.00134</v>
      </c>
      <c r="F37" s="388"/>
      <c r="G37" s="397"/>
      <c r="H37" s="389"/>
    </row>
    <row r="38" spans="1:8" ht="14.4" customHeight="1">
      <c r="A38" s="390">
        <f>A36+1</f>
        <v>10</v>
      </c>
      <c r="B38" s="399" t="s">
        <v>2348</v>
      </c>
      <c r="C38" s="411" t="s">
        <v>2349</v>
      </c>
      <c r="D38" s="392" t="s">
        <v>413</v>
      </c>
      <c r="E38" s="427">
        <f>E39</f>
        <v>0.0193</v>
      </c>
      <c r="F38" s="388"/>
      <c r="G38" s="389">
        <f>E38*F38</f>
        <v>0</v>
      </c>
      <c r="H38" s="389"/>
    </row>
    <row r="39" spans="1:8" ht="14.4" customHeight="1">
      <c r="A39" s="390"/>
      <c r="B39" s="399"/>
      <c r="C39" s="412" t="s">
        <v>2451</v>
      </c>
      <c r="D39" s="392"/>
      <c r="E39" s="412">
        <v>0.0193</v>
      </c>
      <c r="F39" s="388"/>
      <c r="G39" s="389">
        <f>E39*F39</f>
        <v>0</v>
      </c>
      <c r="H39" s="389"/>
    </row>
    <row r="40" spans="1:8" ht="18.6" customHeight="1">
      <c r="A40" s="383">
        <f>A38+1</f>
        <v>11</v>
      </c>
      <c r="B40" s="384" t="s">
        <v>2351</v>
      </c>
      <c r="C40" s="406" t="s">
        <v>2352</v>
      </c>
      <c r="D40" s="403" t="s">
        <v>413</v>
      </c>
      <c r="E40" s="428">
        <f>E41</f>
        <v>0.00304</v>
      </c>
      <c r="F40" s="429"/>
      <c r="G40" s="429">
        <f>E40*F40</f>
        <v>0</v>
      </c>
      <c r="H40" s="389"/>
    </row>
    <row r="41" spans="1:8" ht="15" customHeight="1">
      <c r="A41" s="390"/>
      <c r="B41" s="411"/>
      <c r="C41" s="412" t="s">
        <v>2452</v>
      </c>
      <c r="D41" s="392"/>
      <c r="E41" s="412">
        <v>0.00304</v>
      </c>
      <c r="F41" s="388"/>
      <c r="G41" s="397"/>
      <c r="H41" s="389"/>
    </row>
    <row r="42" spans="1:8" ht="21.6" customHeight="1">
      <c r="A42" s="414">
        <f>A40+1</f>
        <v>12</v>
      </c>
      <c r="B42" s="456" t="s">
        <v>2355</v>
      </c>
      <c r="C42" s="411" t="s">
        <v>2356</v>
      </c>
      <c r="D42" s="392" t="s">
        <v>413</v>
      </c>
      <c r="E42" s="427">
        <f>E43+E44</f>
        <v>0.0007</v>
      </c>
      <c r="F42" s="389"/>
      <c r="G42" s="389">
        <f>E42*F42</f>
        <v>0</v>
      </c>
      <c r="H42" s="389"/>
    </row>
    <row r="43" spans="1:8" ht="15" customHeight="1">
      <c r="A43" s="383"/>
      <c r="B43" s="411"/>
      <c r="C43" s="412" t="s">
        <v>2453</v>
      </c>
      <c r="D43" s="392"/>
      <c r="E43" s="412">
        <v>0.0004</v>
      </c>
      <c r="F43" s="388"/>
      <c r="G43" s="397"/>
      <c r="H43" s="389"/>
    </row>
    <row r="44" spans="1:8" ht="15" customHeight="1">
      <c r="A44" s="383"/>
      <c r="B44" s="411"/>
      <c r="C44" s="412" t="s">
        <v>2454</v>
      </c>
      <c r="D44" s="392"/>
      <c r="E44" s="412">
        <v>0.0003</v>
      </c>
      <c r="F44" s="388"/>
      <c r="G44" s="397"/>
      <c r="H44" s="389"/>
    </row>
    <row r="45" spans="1:8" ht="15" customHeight="1">
      <c r="A45" s="383">
        <f>A42+1</f>
        <v>13</v>
      </c>
      <c r="B45" s="455" t="s">
        <v>2268</v>
      </c>
      <c r="C45" s="411" t="s">
        <v>2455</v>
      </c>
      <c r="D45" s="392" t="s">
        <v>944</v>
      </c>
      <c r="E45" s="398">
        <f>E46</f>
        <v>24.38</v>
      </c>
      <c r="F45" s="388"/>
      <c r="G45" s="389">
        <f>E45*F45</f>
        <v>0</v>
      </c>
      <c r="H45" s="457">
        <f>0.001*E45</f>
        <v>0.02438</v>
      </c>
    </row>
    <row r="46" spans="1:8" ht="13.2" customHeight="1">
      <c r="A46" s="390"/>
      <c r="B46" s="455"/>
      <c r="C46" s="400" t="s">
        <v>2456</v>
      </c>
      <c r="D46" s="392"/>
      <c r="E46" s="412">
        <v>24.38</v>
      </c>
      <c r="F46" s="388"/>
      <c r="G46" s="389">
        <f>E46*F46</f>
        <v>0</v>
      </c>
      <c r="H46" s="438"/>
    </row>
    <row r="47" spans="1:8" ht="12">
      <c r="A47" s="390">
        <f>A45+1</f>
        <v>14</v>
      </c>
      <c r="B47" s="455" t="s">
        <v>2268</v>
      </c>
      <c r="C47" s="450" t="s">
        <v>2457</v>
      </c>
      <c r="D47" s="392" t="s">
        <v>1280</v>
      </c>
      <c r="E47" s="398">
        <f>E48</f>
        <v>43</v>
      </c>
      <c r="F47" s="388"/>
      <c r="G47" s="397">
        <f>E47*F47</f>
        <v>0</v>
      </c>
      <c r="H47" s="389"/>
    </row>
    <row r="48" spans="1:8" ht="12">
      <c r="A48" s="390"/>
      <c r="B48" s="411"/>
      <c r="C48" s="400" t="s">
        <v>2458</v>
      </c>
      <c r="D48" s="392"/>
      <c r="E48" s="412">
        <v>43</v>
      </c>
      <c r="F48" s="388"/>
      <c r="G48" s="397"/>
      <c r="H48" s="389"/>
    </row>
    <row r="49" spans="1:8" ht="12">
      <c r="A49" s="390">
        <f>A47+1</f>
        <v>15</v>
      </c>
      <c r="B49" s="399" t="s">
        <v>2337</v>
      </c>
      <c r="C49" s="411" t="s">
        <v>2338</v>
      </c>
      <c r="D49" s="392" t="s">
        <v>246</v>
      </c>
      <c r="E49" s="426">
        <f>E50+E51</f>
        <v>91.32</v>
      </c>
      <c r="F49" s="388"/>
      <c r="G49" s="389">
        <f>E49*F49</f>
        <v>0</v>
      </c>
      <c r="H49" s="389"/>
    </row>
    <row r="50" spans="1:8" ht="12">
      <c r="A50" s="390"/>
      <c r="B50" s="399"/>
      <c r="C50" s="412" t="s">
        <v>2279</v>
      </c>
      <c r="D50" s="392"/>
      <c r="E50" s="412">
        <v>67</v>
      </c>
      <c r="F50" s="388"/>
      <c r="G50" s="389"/>
      <c r="H50" s="389"/>
    </row>
    <row r="51" spans="2:8" ht="15" customHeight="1">
      <c r="B51" s="399"/>
      <c r="C51" s="412" t="s">
        <v>2339</v>
      </c>
      <c r="D51" s="392"/>
      <c r="E51" s="412">
        <v>24.32</v>
      </c>
      <c r="F51" s="388"/>
      <c r="G51" s="389"/>
      <c r="H51" s="389"/>
    </row>
    <row r="52" spans="1:8" ht="15" customHeight="1">
      <c r="A52" s="390">
        <f>A49+1</f>
        <v>16</v>
      </c>
      <c r="B52" s="399" t="s">
        <v>2340</v>
      </c>
      <c r="C52" s="411" t="s">
        <v>2341</v>
      </c>
      <c r="D52" s="392" t="s">
        <v>246</v>
      </c>
      <c r="E52" s="426">
        <f>E53</f>
        <v>965</v>
      </c>
      <c r="F52" s="388"/>
      <c r="G52" s="389">
        <f>E52*F52</f>
        <v>0</v>
      </c>
      <c r="H52" s="389"/>
    </row>
    <row r="53" spans="1:8" ht="15" customHeight="1">
      <c r="A53" s="390"/>
      <c r="B53" s="399"/>
      <c r="C53" s="412" t="s">
        <v>2279</v>
      </c>
      <c r="D53" s="392"/>
      <c r="E53" s="412">
        <v>965</v>
      </c>
      <c r="F53" s="388"/>
      <c r="G53" s="389"/>
      <c r="H53" s="389"/>
    </row>
    <row r="54" spans="1:8" ht="15" customHeight="1">
      <c r="A54" s="390">
        <f>A52+1</f>
        <v>17</v>
      </c>
      <c r="B54" s="411" t="s">
        <v>2268</v>
      </c>
      <c r="C54" s="411" t="s">
        <v>2409</v>
      </c>
      <c r="D54" s="392" t="s">
        <v>324</v>
      </c>
      <c r="E54" s="388">
        <f>SUM(E55:E55)</f>
        <v>52.816</v>
      </c>
      <c r="F54" s="388"/>
      <c r="G54" s="389">
        <f>E54*F54</f>
        <v>0</v>
      </c>
      <c r="H54" s="457">
        <f>0.5*E54</f>
        <v>26.408</v>
      </c>
    </row>
    <row r="55" spans="1:8" ht="12">
      <c r="A55" s="390"/>
      <c r="B55" s="411"/>
      <c r="C55" s="400" t="s">
        <v>2459</v>
      </c>
      <c r="D55" s="392"/>
      <c r="E55" s="412">
        <v>52.816</v>
      </c>
      <c r="F55" s="388"/>
      <c r="G55" s="389">
        <f>E55*F55</f>
        <v>0</v>
      </c>
      <c r="H55" s="457"/>
    </row>
    <row r="56" spans="1:8" ht="12">
      <c r="A56" s="390">
        <f>A54+1</f>
        <v>18</v>
      </c>
      <c r="B56" s="384" t="s">
        <v>2460</v>
      </c>
      <c r="C56" s="411" t="s">
        <v>2461</v>
      </c>
      <c r="D56" s="392" t="s">
        <v>246</v>
      </c>
      <c r="E56" s="388">
        <f>E57</f>
        <v>90</v>
      </c>
      <c r="F56" s="388"/>
      <c r="G56" s="389">
        <f>E56*F56</f>
        <v>0</v>
      </c>
      <c r="H56" s="457"/>
    </row>
    <row r="57" spans="1:8" ht="12">
      <c r="A57" s="390"/>
      <c r="B57" s="411"/>
      <c r="C57" s="412" t="s">
        <v>2462</v>
      </c>
      <c r="D57" s="392"/>
      <c r="E57" s="412">
        <v>90</v>
      </c>
      <c r="F57" s="388"/>
      <c r="G57" s="389"/>
      <c r="H57" s="457"/>
    </row>
    <row r="58" spans="1:8" ht="12">
      <c r="A58" s="390">
        <f>A56+1</f>
        <v>19</v>
      </c>
      <c r="B58" s="384" t="s">
        <v>2268</v>
      </c>
      <c r="C58" s="411" t="s">
        <v>2463</v>
      </c>
      <c r="D58" s="392" t="s">
        <v>1280</v>
      </c>
      <c r="E58" s="388">
        <f>E59</f>
        <v>90</v>
      </c>
      <c r="F58" s="388"/>
      <c r="G58" s="389">
        <f>E58*F58</f>
        <v>0</v>
      </c>
      <c r="H58" s="457"/>
    </row>
    <row r="59" spans="1:8" ht="12">
      <c r="A59" s="390"/>
      <c r="B59" s="411"/>
      <c r="C59" s="412" t="s">
        <v>2462</v>
      </c>
      <c r="D59" s="392"/>
      <c r="E59" s="412">
        <v>90</v>
      </c>
      <c r="F59" s="388"/>
      <c r="G59" s="389"/>
      <c r="H59" s="457"/>
    </row>
    <row r="60" spans="1:8" ht="15" customHeight="1">
      <c r="A60" s="390">
        <f>A58+1</f>
        <v>20</v>
      </c>
      <c r="B60" s="411" t="s">
        <v>2268</v>
      </c>
      <c r="C60" s="411" t="s">
        <v>2464</v>
      </c>
      <c r="D60" s="392" t="s">
        <v>1280</v>
      </c>
      <c r="E60" s="388">
        <f>E61</f>
        <v>129</v>
      </c>
      <c r="F60" s="388"/>
      <c r="G60" s="389">
        <f>E60*F60</f>
        <v>0</v>
      </c>
      <c r="H60" s="438"/>
    </row>
    <row r="61" spans="1:8" ht="15" customHeight="1">
      <c r="A61" s="390"/>
      <c r="B61" s="411"/>
      <c r="C61" s="400" t="s">
        <v>2465</v>
      </c>
      <c r="D61" s="392"/>
      <c r="E61" s="412">
        <v>129</v>
      </c>
      <c r="F61" s="388"/>
      <c r="G61" s="389"/>
      <c r="H61" s="438"/>
    </row>
    <row r="62" spans="1:8" ht="15" customHeight="1">
      <c r="A62" s="442"/>
      <c r="B62" s="443" t="s">
        <v>2421</v>
      </c>
      <c r="C62" s="444" t="str">
        <f>CONCATENATE(B18," ",C18)</f>
        <v>100 Následná péče o výsadby 3 roky</v>
      </c>
      <c r="D62" s="445"/>
      <c r="E62" s="446"/>
      <c r="F62" s="447"/>
      <c r="G62" s="448">
        <f>SUM(G20:G61)</f>
        <v>0</v>
      </c>
      <c r="H62" s="448"/>
    </row>
  </sheetData>
  <mergeCells count="5">
    <mergeCell ref="A1:G1"/>
    <mergeCell ref="A3:B3"/>
    <mergeCell ref="A4:B4"/>
    <mergeCell ref="E4:G4"/>
    <mergeCell ref="A5:G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5" r:id="rId1"/>
  <headerFooter alignWithMargins="0"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AT2" s="18" t="s">
        <v>116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89" t="s">
        <v>1729</v>
      </c>
      <c r="F9" s="495"/>
      <c r="G9" s="495"/>
      <c r="H9" s="495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66"/>
      <c r="G18" s="466"/>
      <c r="H18" s="46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71" t="s">
        <v>19</v>
      </c>
      <c r="F27" s="471"/>
      <c r="G27" s="471"/>
      <c r="H27" s="471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ROUND(J82,2)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ROUND((SUM(BE82:BE129)),2)</f>
        <v>0</v>
      </c>
      <c r="I33" s="90">
        <v>0.21</v>
      </c>
      <c r="J33" s="89">
        <f>ROUND(((SUM(BE82:BE129))*I33),2)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ROUND((SUM(BF82:BF129)),2)</f>
        <v>0</v>
      </c>
      <c r="I34" s="90">
        <v>0.15</v>
      </c>
      <c r="J34" s="89">
        <f>ROUND(((SUM(BF82:BF129))*I34),2)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ROUND((SUM(BG82:BG129)),2)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ROUND((SUM(BH82:BH129)),2)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ROUND((SUM(BI82:BI129)),2)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89" t="str">
        <f>E9</f>
        <v>SO 900, 901 - Podzemní kontejnery, hrací prvky</v>
      </c>
      <c r="F50" s="495"/>
      <c r="G50" s="495"/>
      <c r="H50" s="495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J82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J84</f>
        <v>0</v>
      </c>
      <c r="L61" s="104"/>
    </row>
    <row r="62" spans="2:12" s="9" customFormat="1" ht="19.95" customHeight="1">
      <c r="B62" s="104"/>
      <c r="D62" s="105" t="s">
        <v>236</v>
      </c>
      <c r="E62" s="106"/>
      <c r="F62" s="106"/>
      <c r="G62" s="106"/>
      <c r="H62" s="106"/>
      <c r="I62" s="106"/>
      <c r="J62" s="107">
        <f>J109</f>
        <v>0</v>
      </c>
      <c r="L62" s="104"/>
    </row>
    <row r="63" spans="2:12" s="1" customFormat="1" ht="21.75" customHeight="1">
      <c r="B63" s="33"/>
      <c r="L63" s="33"/>
    </row>
    <row r="64" spans="2:12" s="1" customFormat="1" ht="6.9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" customHeight="1">
      <c r="B69" s="33"/>
      <c r="C69" s="22" t="s">
        <v>129</v>
      </c>
      <c r="L69" s="33"/>
    </row>
    <row r="70" spans="2:12" s="1" customFormat="1" ht="6.9" customHeight="1">
      <c r="B70" s="33"/>
      <c r="L70" s="33"/>
    </row>
    <row r="71" spans="2:12" s="1" customFormat="1" ht="12" customHeight="1">
      <c r="B71" s="33"/>
      <c r="C71" s="28" t="s">
        <v>16</v>
      </c>
      <c r="L71" s="33"/>
    </row>
    <row r="72" spans="2:12" s="1" customFormat="1" ht="27" customHeight="1">
      <c r="B72" s="33"/>
      <c r="E72" s="496" t="str">
        <f>E7</f>
        <v>REGENERACE PANELOVÉHO SÍDLIŠTĚ PRIEVIDZSKÁ - 7.ETAPA</v>
      </c>
      <c r="F72" s="497"/>
      <c r="G72" s="497"/>
      <c r="H72" s="497"/>
      <c r="L72" s="33"/>
    </row>
    <row r="73" spans="2:12" s="1" customFormat="1" ht="12" customHeight="1">
      <c r="B73" s="33"/>
      <c r="C73" s="28" t="s">
        <v>118</v>
      </c>
      <c r="L73" s="33"/>
    </row>
    <row r="74" spans="2:12" s="1" customFormat="1" ht="15" customHeight="1">
      <c r="B74" s="33"/>
      <c r="E74" s="489" t="str">
        <f>E9</f>
        <v>SO 900, 901 - Podzemní kontejnery, hrací prvky</v>
      </c>
      <c r="F74" s="495"/>
      <c r="G74" s="495"/>
      <c r="H74" s="495"/>
      <c r="L74" s="33"/>
    </row>
    <row r="75" spans="2:12" s="1" customFormat="1" ht="6.9" customHeight="1">
      <c r="B75" s="33"/>
      <c r="L75" s="33"/>
    </row>
    <row r="76" spans="2:12" s="1" customFormat="1" ht="12" customHeight="1">
      <c r="B76" s="33"/>
      <c r="C76" s="28" t="s">
        <v>21</v>
      </c>
      <c r="F76" s="26" t="str">
        <f>F12</f>
        <v xml:space="preserve"> </v>
      </c>
      <c r="I76" s="28" t="s">
        <v>23</v>
      </c>
      <c r="J76" s="50" t="str">
        <f>IF(J12="","",J12)</f>
        <v>22. 10. 2022</v>
      </c>
      <c r="L76" s="33"/>
    </row>
    <row r="77" spans="2:12" s="1" customFormat="1" ht="6.9" customHeight="1">
      <c r="B77" s="33"/>
      <c r="L77" s="33"/>
    </row>
    <row r="78" spans="2:12" s="1" customFormat="1" ht="14.85" customHeight="1">
      <c r="B78" s="33"/>
      <c r="C78" s="28" t="s">
        <v>25</v>
      </c>
      <c r="F78" s="26" t="str">
        <f>E15</f>
        <v>Město Šumperk</v>
      </c>
      <c r="I78" s="28" t="s">
        <v>33</v>
      </c>
      <c r="J78" s="31" t="str">
        <f>E21</f>
        <v>Ateliér DPK, s.r.o.</v>
      </c>
      <c r="L78" s="33"/>
    </row>
    <row r="79" spans="2:12" s="1" customFormat="1" ht="14.85" customHeight="1">
      <c r="B79" s="33"/>
      <c r="C79" s="28" t="s">
        <v>31</v>
      </c>
      <c r="F79" s="26" t="str">
        <f>IF(E18="","",E18)</f>
        <v>Vyplň údaj</v>
      </c>
      <c r="I79" s="28" t="s">
        <v>38</v>
      </c>
      <c r="J79" s="31" t="str">
        <f>E24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08"/>
      <c r="C81" s="109" t="s">
        <v>130</v>
      </c>
      <c r="D81" s="110" t="s">
        <v>61</v>
      </c>
      <c r="E81" s="110" t="s">
        <v>57</v>
      </c>
      <c r="F81" s="110" t="s">
        <v>58</v>
      </c>
      <c r="G81" s="110" t="s">
        <v>131</v>
      </c>
      <c r="H81" s="110" t="s">
        <v>132</v>
      </c>
      <c r="I81" s="110" t="s">
        <v>133</v>
      </c>
      <c r="J81" s="110" t="s">
        <v>122</v>
      </c>
      <c r="K81" s="111" t="s">
        <v>134</v>
      </c>
      <c r="L81" s="108"/>
      <c r="M81" s="57" t="s">
        <v>19</v>
      </c>
      <c r="N81" s="58" t="s">
        <v>46</v>
      </c>
      <c r="O81" s="58" t="s">
        <v>135</v>
      </c>
      <c r="P81" s="58" t="s">
        <v>136</v>
      </c>
      <c r="Q81" s="58" t="s">
        <v>137</v>
      </c>
      <c r="R81" s="58" t="s">
        <v>138</v>
      </c>
      <c r="S81" s="58" t="s">
        <v>139</v>
      </c>
      <c r="T81" s="59" t="s">
        <v>140</v>
      </c>
    </row>
    <row r="82" spans="2:63" s="1" customFormat="1" ht="22.8" customHeight="1">
      <c r="B82" s="33"/>
      <c r="C82" s="62" t="s">
        <v>141</v>
      </c>
      <c r="J82" s="112">
        <f>BK82</f>
        <v>0</v>
      </c>
      <c r="L82" s="33"/>
      <c r="M82" s="60"/>
      <c r="N82" s="51"/>
      <c r="O82" s="51"/>
      <c r="P82" s="113">
        <f>P83</f>
        <v>0</v>
      </c>
      <c r="Q82" s="51"/>
      <c r="R82" s="113">
        <f>R83</f>
        <v>62.00003</v>
      </c>
      <c r="S82" s="51"/>
      <c r="T82" s="114">
        <f>T83</f>
        <v>0</v>
      </c>
      <c r="AT82" s="18" t="s">
        <v>75</v>
      </c>
      <c r="AU82" s="18" t="s">
        <v>123</v>
      </c>
      <c r="BK82" s="115">
        <f>BK83</f>
        <v>0</v>
      </c>
    </row>
    <row r="83" spans="2:63" s="11" customFormat="1" ht="25.8" customHeight="1">
      <c r="B83" s="116"/>
      <c r="D83" s="117" t="s">
        <v>75</v>
      </c>
      <c r="E83" s="118" t="s">
        <v>241</v>
      </c>
      <c r="F83" s="118" t="s">
        <v>242</v>
      </c>
      <c r="I83" s="119"/>
      <c r="J83" s="120">
        <f>BK83</f>
        <v>0</v>
      </c>
      <c r="L83" s="116"/>
      <c r="M83" s="121"/>
      <c r="P83" s="122">
        <f>P84+P109</f>
        <v>0</v>
      </c>
      <c r="R83" s="122">
        <f>R84+R109</f>
        <v>62.00003</v>
      </c>
      <c r="T83" s="123">
        <f>T84+T109</f>
        <v>0</v>
      </c>
      <c r="AR83" s="117" t="s">
        <v>84</v>
      </c>
      <c r="AT83" s="124" t="s">
        <v>75</v>
      </c>
      <c r="AU83" s="124" t="s">
        <v>76</v>
      </c>
      <c r="AY83" s="117" t="s">
        <v>144</v>
      </c>
      <c r="BK83" s="125">
        <f>BK84+BK109</f>
        <v>0</v>
      </c>
    </row>
    <row r="84" spans="2:63" s="11" customFormat="1" ht="22.8" customHeight="1">
      <c r="B84" s="116"/>
      <c r="D84" s="117" t="s">
        <v>75</v>
      </c>
      <c r="E84" s="126" t="s">
        <v>84</v>
      </c>
      <c r="F84" s="126" t="s">
        <v>243</v>
      </c>
      <c r="I84" s="119"/>
      <c r="J84" s="127">
        <f>BK84</f>
        <v>0</v>
      </c>
      <c r="L84" s="116"/>
      <c r="M84" s="121"/>
      <c r="P84" s="122">
        <f>SUM(P85:P108)</f>
        <v>0</v>
      </c>
      <c r="R84" s="122">
        <f>SUM(R85:R108)</f>
        <v>62.00003</v>
      </c>
      <c r="T84" s="123">
        <f>SUM(T85:T108)</f>
        <v>0</v>
      </c>
      <c r="AR84" s="117" t="s">
        <v>84</v>
      </c>
      <c r="AT84" s="124" t="s">
        <v>75</v>
      </c>
      <c r="AU84" s="124" t="s">
        <v>84</v>
      </c>
      <c r="AY84" s="117" t="s">
        <v>144</v>
      </c>
      <c r="BK84" s="125">
        <f>SUM(BK85:BK108)</f>
        <v>0</v>
      </c>
    </row>
    <row r="85" spans="2:65" s="1" customFormat="1" ht="15" customHeight="1">
      <c r="B85" s="33"/>
      <c r="C85" s="128" t="s">
        <v>84</v>
      </c>
      <c r="D85" s="128" t="s">
        <v>147</v>
      </c>
      <c r="E85" s="129" t="s">
        <v>1730</v>
      </c>
      <c r="F85" s="130" t="s">
        <v>1731</v>
      </c>
      <c r="G85" s="131" t="s">
        <v>150</v>
      </c>
      <c r="H85" s="132">
        <v>1</v>
      </c>
      <c r="I85" s="133"/>
      <c r="J85" s="134">
        <f>ROUND(I85*H85,2)</f>
        <v>0</v>
      </c>
      <c r="K85" s="130" t="s">
        <v>19</v>
      </c>
      <c r="L85" s="33"/>
      <c r="M85" s="135" t="s">
        <v>19</v>
      </c>
      <c r="N85" s="136" t="s">
        <v>47</v>
      </c>
      <c r="P85" s="137">
        <f>O85*H85</f>
        <v>0</v>
      </c>
      <c r="Q85" s="137">
        <v>3E-05</v>
      </c>
      <c r="R85" s="137">
        <f>Q85*H85</f>
        <v>3E-05</v>
      </c>
      <c r="S85" s="137">
        <v>0</v>
      </c>
      <c r="T85" s="138">
        <f>S85*H85</f>
        <v>0</v>
      </c>
      <c r="AR85" s="139" t="s">
        <v>166</v>
      </c>
      <c r="AT85" s="139" t="s">
        <v>147</v>
      </c>
      <c r="AU85" s="139" t="s">
        <v>86</v>
      </c>
      <c r="AY85" s="18" t="s">
        <v>144</v>
      </c>
      <c r="BE85" s="140">
        <f>IF(N85="základní",J85,0)</f>
        <v>0</v>
      </c>
      <c r="BF85" s="140">
        <f>IF(N85="snížená",J85,0)</f>
        <v>0</v>
      </c>
      <c r="BG85" s="140">
        <f>IF(N85="zákl. přenesená",J85,0)</f>
        <v>0</v>
      </c>
      <c r="BH85" s="140">
        <f>IF(N85="sníž. přenesená",J85,0)</f>
        <v>0</v>
      </c>
      <c r="BI85" s="140">
        <f>IF(N85="nulová",J85,0)</f>
        <v>0</v>
      </c>
      <c r="BJ85" s="18" t="s">
        <v>84</v>
      </c>
      <c r="BK85" s="140">
        <f>ROUND(I85*H85,2)</f>
        <v>0</v>
      </c>
      <c r="BL85" s="18" t="s">
        <v>166</v>
      </c>
      <c r="BM85" s="139" t="s">
        <v>1732</v>
      </c>
    </row>
    <row r="86" spans="2:65" s="1" customFormat="1" ht="42.6" customHeight="1">
      <c r="B86" s="33"/>
      <c r="C86" s="128" t="s">
        <v>86</v>
      </c>
      <c r="D86" s="128" t="s">
        <v>147</v>
      </c>
      <c r="E86" s="129" t="s">
        <v>1733</v>
      </c>
      <c r="F86" s="130" t="s">
        <v>1734</v>
      </c>
      <c r="G86" s="131" t="s">
        <v>324</v>
      </c>
      <c r="H86" s="132">
        <v>94</v>
      </c>
      <c r="I86" s="133"/>
      <c r="J86" s="134">
        <f>ROUND(I86*H86,2)</f>
        <v>0</v>
      </c>
      <c r="K86" s="130" t="s">
        <v>151</v>
      </c>
      <c r="L86" s="33"/>
      <c r="M86" s="135" t="s">
        <v>19</v>
      </c>
      <c r="N86" s="136" t="s">
        <v>47</v>
      </c>
      <c r="P86" s="137">
        <f>O86*H86</f>
        <v>0</v>
      </c>
      <c r="Q86" s="137">
        <v>0</v>
      </c>
      <c r="R86" s="137">
        <f>Q86*H86</f>
        <v>0</v>
      </c>
      <c r="S86" s="137">
        <v>0</v>
      </c>
      <c r="T86" s="138">
        <f>S86*H86</f>
        <v>0</v>
      </c>
      <c r="AR86" s="139" t="s">
        <v>166</v>
      </c>
      <c r="AT86" s="139" t="s">
        <v>147</v>
      </c>
      <c r="AU86" s="139" t="s">
        <v>86</v>
      </c>
      <c r="AY86" s="18" t="s">
        <v>144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8" t="s">
        <v>84</v>
      </c>
      <c r="BK86" s="140">
        <f>ROUND(I86*H86,2)</f>
        <v>0</v>
      </c>
      <c r="BL86" s="18" t="s">
        <v>166</v>
      </c>
      <c r="BM86" s="139" t="s">
        <v>1735</v>
      </c>
    </row>
    <row r="87" spans="2:47" s="1" customFormat="1" ht="12">
      <c r="B87" s="33"/>
      <c r="D87" s="141" t="s">
        <v>154</v>
      </c>
      <c r="F87" s="142" t="s">
        <v>1736</v>
      </c>
      <c r="I87" s="143"/>
      <c r="L87" s="33"/>
      <c r="M87" s="144"/>
      <c r="T87" s="54"/>
      <c r="AT87" s="18" t="s">
        <v>154</v>
      </c>
      <c r="AU87" s="18" t="s">
        <v>86</v>
      </c>
    </row>
    <row r="88" spans="2:65" s="1" customFormat="1" ht="60.45" customHeight="1">
      <c r="B88" s="33"/>
      <c r="C88" s="128" t="s">
        <v>162</v>
      </c>
      <c r="D88" s="128" t="s">
        <v>147</v>
      </c>
      <c r="E88" s="129" t="s">
        <v>351</v>
      </c>
      <c r="F88" s="130" t="s">
        <v>352</v>
      </c>
      <c r="G88" s="131" t="s">
        <v>324</v>
      </c>
      <c r="H88" s="132">
        <v>119</v>
      </c>
      <c r="I88" s="133"/>
      <c r="J88" s="134">
        <f>ROUND(I88*H88,2)</f>
        <v>0</v>
      </c>
      <c r="K88" s="130" t="s">
        <v>151</v>
      </c>
      <c r="L88" s="33"/>
      <c r="M88" s="135" t="s">
        <v>19</v>
      </c>
      <c r="N88" s="136" t="s">
        <v>47</v>
      </c>
      <c r="P88" s="137">
        <f>O88*H88</f>
        <v>0</v>
      </c>
      <c r="Q88" s="137">
        <v>0</v>
      </c>
      <c r="R88" s="137">
        <f>Q88*H88</f>
        <v>0</v>
      </c>
      <c r="S88" s="137">
        <v>0</v>
      </c>
      <c r="T88" s="138">
        <f>S88*H88</f>
        <v>0</v>
      </c>
      <c r="AR88" s="139" t="s">
        <v>166</v>
      </c>
      <c r="AT88" s="139" t="s">
        <v>147</v>
      </c>
      <c r="AU88" s="139" t="s">
        <v>86</v>
      </c>
      <c r="AY88" s="18" t="s">
        <v>144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8" t="s">
        <v>84</v>
      </c>
      <c r="BK88" s="140">
        <f>ROUND(I88*H88,2)</f>
        <v>0</v>
      </c>
      <c r="BL88" s="18" t="s">
        <v>166</v>
      </c>
      <c r="BM88" s="139" t="s">
        <v>1737</v>
      </c>
    </row>
    <row r="89" spans="2:47" s="1" customFormat="1" ht="12">
      <c r="B89" s="33"/>
      <c r="D89" s="141" t="s">
        <v>154</v>
      </c>
      <c r="F89" s="142" t="s">
        <v>354</v>
      </c>
      <c r="I89" s="143"/>
      <c r="L89" s="33"/>
      <c r="M89" s="144"/>
      <c r="T89" s="54"/>
      <c r="AT89" s="18" t="s">
        <v>154</v>
      </c>
      <c r="AU89" s="18" t="s">
        <v>86</v>
      </c>
    </row>
    <row r="90" spans="2:51" s="12" customFormat="1" ht="12">
      <c r="B90" s="152"/>
      <c r="D90" s="145" t="s">
        <v>249</v>
      </c>
      <c r="E90" s="153" t="s">
        <v>19</v>
      </c>
      <c r="F90" s="154" t="s">
        <v>1738</v>
      </c>
      <c r="H90" s="155">
        <v>25</v>
      </c>
      <c r="I90" s="156"/>
      <c r="L90" s="152"/>
      <c r="M90" s="157"/>
      <c r="T90" s="158"/>
      <c r="AT90" s="153" t="s">
        <v>249</v>
      </c>
      <c r="AU90" s="153" t="s">
        <v>86</v>
      </c>
      <c r="AV90" s="12" t="s">
        <v>86</v>
      </c>
      <c r="AW90" s="12" t="s">
        <v>37</v>
      </c>
      <c r="AX90" s="12" t="s">
        <v>76</v>
      </c>
      <c r="AY90" s="153" t="s">
        <v>144</v>
      </c>
    </row>
    <row r="91" spans="2:51" s="12" customFormat="1" ht="12">
      <c r="B91" s="152"/>
      <c r="D91" s="145" t="s">
        <v>249</v>
      </c>
      <c r="E91" s="153" t="s">
        <v>19</v>
      </c>
      <c r="F91" s="154" t="s">
        <v>1739</v>
      </c>
      <c r="H91" s="155">
        <v>25</v>
      </c>
      <c r="I91" s="156"/>
      <c r="L91" s="152"/>
      <c r="M91" s="157"/>
      <c r="T91" s="158"/>
      <c r="AT91" s="153" t="s">
        <v>249</v>
      </c>
      <c r="AU91" s="153" t="s">
        <v>86</v>
      </c>
      <c r="AV91" s="12" t="s">
        <v>86</v>
      </c>
      <c r="AW91" s="12" t="s">
        <v>37</v>
      </c>
      <c r="AX91" s="12" t="s">
        <v>76</v>
      </c>
      <c r="AY91" s="153" t="s">
        <v>144</v>
      </c>
    </row>
    <row r="92" spans="2:51" s="12" customFormat="1" ht="12">
      <c r="B92" s="152"/>
      <c r="D92" s="145" t="s">
        <v>249</v>
      </c>
      <c r="E92" s="153" t="s">
        <v>19</v>
      </c>
      <c r="F92" s="154" t="s">
        <v>1740</v>
      </c>
      <c r="H92" s="155">
        <v>69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51" s="13" customFormat="1" ht="12">
      <c r="B93" s="159"/>
      <c r="D93" s="145" t="s">
        <v>249</v>
      </c>
      <c r="E93" s="160" t="s">
        <v>19</v>
      </c>
      <c r="F93" s="161" t="s">
        <v>251</v>
      </c>
      <c r="H93" s="162">
        <v>119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42.6" customHeight="1">
      <c r="B94" s="33"/>
      <c r="C94" s="128" t="s">
        <v>166</v>
      </c>
      <c r="D94" s="128" t="s">
        <v>147</v>
      </c>
      <c r="E94" s="129" t="s">
        <v>1334</v>
      </c>
      <c r="F94" s="130" t="s">
        <v>1335</v>
      </c>
      <c r="G94" s="131" t="s">
        <v>324</v>
      </c>
      <c r="H94" s="132">
        <v>25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1741</v>
      </c>
    </row>
    <row r="95" spans="2:47" s="1" customFormat="1" ht="12">
      <c r="B95" s="33"/>
      <c r="D95" s="141" t="s">
        <v>154</v>
      </c>
      <c r="F95" s="142" t="s">
        <v>1337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51" s="12" customFormat="1" ht="12">
      <c r="B96" s="152"/>
      <c r="D96" s="145" t="s">
        <v>249</v>
      </c>
      <c r="E96" s="153" t="s">
        <v>19</v>
      </c>
      <c r="F96" s="154" t="s">
        <v>1738</v>
      </c>
      <c r="H96" s="155">
        <v>25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51" s="13" customFormat="1" ht="12">
      <c r="B97" s="159"/>
      <c r="D97" s="145" t="s">
        <v>249</v>
      </c>
      <c r="E97" s="160" t="s">
        <v>19</v>
      </c>
      <c r="F97" s="161" t="s">
        <v>251</v>
      </c>
      <c r="H97" s="162">
        <v>25</v>
      </c>
      <c r="I97" s="163"/>
      <c r="L97" s="159"/>
      <c r="M97" s="164"/>
      <c r="T97" s="165"/>
      <c r="AT97" s="160" t="s">
        <v>249</v>
      </c>
      <c r="AU97" s="160" t="s">
        <v>86</v>
      </c>
      <c r="AV97" s="13" t="s">
        <v>166</v>
      </c>
      <c r="AW97" s="13" t="s">
        <v>37</v>
      </c>
      <c r="AX97" s="13" t="s">
        <v>84</v>
      </c>
      <c r="AY97" s="160" t="s">
        <v>144</v>
      </c>
    </row>
    <row r="98" spans="2:65" s="1" customFormat="1" ht="36.6" customHeight="1">
      <c r="B98" s="33"/>
      <c r="C98" s="128" t="s">
        <v>143</v>
      </c>
      <c r="D98" s="128" t="s">
        <v>147</v>
      </c>
      <c r="E98" s="129" t="s">
        <v>390</v>
      </c>
      <c r="F98" s="130" t="s">
        <v>391</v>
      </c>
      <c r="G98" s="131" t="s">
        <v>324</v>
      </c>
      <c r="H98" s="132">
        <v>94</v>
      </c>
      <c r="I98" s="133"/>
      <c r="J98" s="134">
        <f>ROUND(I98*H98,2)</f>
        <v>0</v>
      </c>
      <c r="K98" s="130" t="s">
        <v>151</v>
      </c>
      <c r="L98" s="33"/>
      <c r="M98" s="135" t="s">
        <v>19</v>
      </c>
      <c r="N98" s="136" t="s">
        <v>47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166</v>
      </c>
      <c r="AT98" s="139" t="s">
        <v>147</v>
      </c>
      <c r="AU98" s="139" t="s">
        <v>86</v>
      </c>
      <c r="AY98" s="18" t="s">
        <v>144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84</v>
      </c>
      <c r="BK98" s="140">
        <f>ROUND(I98*H98,2)</f>
        <v>0</v>
      </c>
      <c r="BL98" s="18" t="s">
        <v>166</v>
      </c>
      <c r="BM98" s="139" t="s">
        <v>1742</v>
      </c>
    </row>
    <row r="99" spans="2:47" s="1" customFormat="1" ht="12">
      <c r="B99" s="33"/>
      <c r="D99" s="141" t="s">
        <v>154</v>
      </c>
      <c r="F99" s="142" t="s">
        <v>393</v>
      </c>
      <c r="I99" s="143"/>
      <c r="L99" s="33"/>
      <c r="M99" s="144"/>
      <c r="T99" s="54"/>
      <c r="AT99" s="18" t="s">
        <v>154</v>
      </c>
      <c r="AU99" s="18" t="s">
        <v>86</v>
      </c>
    </row>
    <row r="100" spans="2:51" s="12" customFormat="1" ht="12">
      <c r="B100" s="152"/>
      <c r="D100" s="145" t="s">
        <v>249</v>
      </c>
      <c r="E100" s="153" t="s">
        <v>19</v>
      </c>
      <c r="F100" s="154" t="s">
        <v>1738</v>
      </c>
      <c r="H100" s="155">
        <v>25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51" s="12" customFormat="1" ht="12">
      <c r="B101" s="152"/>
      <c r="D101" s="145" t="s">
        <v>249</v>
      </c>
      <c r="E101" s="153" t="s">
        <v>19</v>
      </c>
      <c r="F101" s="154" t="s">
        <v>1740</v>
      </c>
      <c r="H101" s="155">
        <v>69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3" customFormat="1" ht="12">
      <c r="B102" s="159"/>
      <c r="D102" s="145" t="s">
        <v>249</v>
      </c>
      <c r="E102" s="160" t="s">
        <v>19</v>
      </c>
      <c r="F102" s="161" t="s">
        <v>251</v>
      </c>
      <c r="H102" s="162">
        <v>94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42.6" customHeight="1">
      <c r="B103" s="33"/>
      <c r="C103" s="128" t="s">
        <v>177</v>
      </c>
      <c r="D103" s="128" t="s">
        <v>147</v>
      </c>
      <c r="E103" s="129" t="s">
        <v>398</v>
      </c>
      <c r="F103" s="130" t="s">
        <v>1346</v>
      </c>
      <c r="G103" s="131" t="s">
        <v>324</v>
      </c>
      <c r="H103" s="132">
        <v>25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1743</v>
      </c>
    </row>
    <row r="104" spans="2:47" s="1" customFormat="1" ht="12">
      <c r="B104" s="33"/>
      <c r="D104" s="141" t="s">
        <v>154</v>
      </c>
      <c r="F104" s="142" t="s">
        <v>1348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51" s="12" customFormat="1" ht="12">
      <c r="B105" s="152"/>
      <c r="D105" s="145" t="s">
        <v>249</v>
      </c>
      <c r="E105" s="153" t="s">
        <v>19</v>
      </c>
      <c r="F105" s="154" t="s">
        <v>1744</v>
      </c>
      <c r="H105" s="155">
        <v>25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76</v>
      </c>
      <c r="AY105" s="153" t="s">
        <v>144</v>
      </c>
    </row>
    <row r="106" spans="2:51" s="13" customFormat="1" ht="12">
      <c r="B106" s="159"/>
      <c r="D106" s="145" t="s">
        <v>249</v>
      </c>
      <c r="E106" s="160" t="s">
        <v>19</v>
      </c>
      <c r="F106" s="161" t="s">
        <v>251</v>
      </c>
      <c r="H106" s="162">
        <v>25</v>
      </c>
      <c r="I106" s="163"/>
      <c r="L106" s="159"/>
      <c r="M106" s="164"/>
      <c r="T106" s="165"/>
      <c r="AT106" s="160" t="s">
        <v>249</v>
      </c>
      <c r="AU106" s="160" t="s">
        <v>86</v>
      </c>
      <c r="AV106" s="13" t="s">
        <v>166</v>
      </c>
      <c r="AW106" s="13" t="s">
        <v>37</v>
      </c>
      <c r="AX106" s="13" t="s">
        <v>84</v>
      </c>
      <c r="AY106" s="160" t="s">
        <v>144</v>
      </c>
    </row>
    <row r="107" spans="2:65" s="1" customFormat="1" ht="15" customHeight="1">
      <c r="B107" s="33"/>
      <c r="C107" s="172" t="s">
        <v>184</v>
      </c>
      <c r="D107" s="172" t="s">
        <v>410</v>
      </c>
      <c r="E107" s="173" t="s">
        <v>1676</v>
      </c>
      <c r="F107" s="174" t="s">
        <v>1677</v>
      </c>
      <c r="G107" s="175" t="s">
        <v>413</v>
      </c>
      <c r="H107" s="176">
        <v>62</v>
      </c>
      <c r="I107" s="177"/>
      <c r="J107" s="178">
        <f>ROUND(I107*H107,2)</f>
        <v>0</v>
      </c>
      <c r="K107" s="174" t="s">
        <v>151</v>
      </c>
      <c r="L107" s="179"/>
      <c r="M107" s="180" t="s">
        <v>19</v>
      </c>
      <c r="N107" s="181" t="s">
        <v>47</v>
      </c>
      <c r="P107" s="137">
        <f>O107*H107</f>
        <v>0</v>
      </c>
      <c r="Q107" s="137">
        <v>1</v>
      </c>
      <c r="R107" s="137">
        <f>Q107*H107</f>
        <v>62</v>
      </c>
      <c r="S107" s="137">
        <v>0</v>
      </c>
      <c r="T107" s="138">
        <f>S107*H107</f>
        <v>0</v>
      </c>
      <c r="AR107" s="139" t="s">
        <v>189</v>
      </c>
      <c r="AT107" s="139" t="s">
        <v>410</v>
      </c>
      <c r="AU107" s="139" t="s">
        <v>86</v>
      </c>
      <c r="AY107" s="18" t="s">
        <v>144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84</v>
      </c>
      <c r="BK107" s="140">
        <f>ROUND(I107*H107,2)</f>
        <v>0</v>
      </c>
      <c r="BL107" s="18" t="s">
        <v>166</v>
      </c>
      <c r="BM107" s="139" t="s">
        <v>1745</v>
      </c>
    </row>
    <row r="108" spans="2:51" s="12" customFormat="1" ht="12">
      <c r="B108" s="152"/>
      <c r="D108" s="145" t="s">
        <v>249</v>
      </c>
      <c r="F108" s="154" t="s">
        <v>1746</v>
      </c>
      <c r="H108" s="155">
        <v>62</v>
      </c>
      <c r="I108" s="156"/>
      <c r="L108" s="152"/>
      <c r="M108" s="157"/>
      <c r="T108" s="158"/>
      <c r="AT108" s="153" t="s">
        <v>249</v>
      </c>
      <c r="AU108" s="153" t="s">
        <v>86</v>
      </c>
      <c r="AV108" s="12" t="s">
        <v>86</v>
      </c>
      <c r="AW108" s="12" t="s">
        <v>4</v>
      </c>
      <c r="AX108" s="12" t="s">
        <v>84</v>
      </c>
      <c r="AY108" s="153" t="s">
        <v>144</v>
      </c>
    </row>
    <row r="109" spans="2:63" s="11" customFormat="1" ht="22.8" customHeight="1">
      <c r="B109" s="116"/>
      <c r="D109" s="117" t="s">
        <v>75</v>
      </c>
      <c r="E109" s="126" t="s">
        <v>195</v>
      </c>
      <c r="F109" s="126" t="s">
        <v>675</v>
      </c>
      <c r="I109" s="119"/>
      <c r="J109" s="127">
        <f>BK109</f>
        <v>0</v>
      </c>
      <c r="L109" s="116"/>
      <c r="M109" s="121"/>
      <c r="P109" s="122">
        <f>SUM(P110:P129)</f>
        <v>0</v>
      </c>
      <c r="R109" s="122">
        <f>SUM(R110:R129)</f>
        <v>0</v>
      </c>
      <c r="T109" s="123">
        <f>SUM(T110:T129)</f>
        <v>0</v>
      </c>
      <c r="AR109" s="117" t="s">
        <v>84</v>
      </c>
      <c r="AT109" s="124" t="s">
        <v>75</v>
      </c>
      <c r="AU109" s="124" t="s">
        <v>84</v>
      </c>
      <c r="AY109" s="117" t="s">
        <v>144</v>
      </c>
      <c r="BK109" s="125">
        <f>SUM(BK110:BK129)</f>
        <v>0</v>
      </c>
    </row>
    <row r="110" spans="2:65" s="1" customFormat="1" ht="15" customHeight="1">
      <c r="B110" s="33"/>
      <c r="C110" s="128" t="s">
        <v>189</v>
      </c>
      <c r="D110" s="128" t="s">
        <v>147</v>
      </c>
      <c r="E110" s="129" t="s">
        <v>1747</v>
      </c>
      <c r="F110" s="130" t="s">
        <v>1748</v>
      </c>
      <c r="G110" s="131" t="s">
        <v>150</v>
      </c>
      <c r="H110" s="132">
        <v>1</v>
      </c>
      <c r="I110" s="133"/>
      <c r="J110" s="134">
        <f>ROUND(I110*H110,2)</f>
        <v>0</v>
      </c>
      <c r="K110" s="130" t="s">
        <v>19</v>
      </c>
      <c r="L110" s="33"/>
      <c r="M110" s="135" t="s">
        <v>19</v>
      </c>
      <c r="N110" s="136" t="s">
        <v>47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1728</v>
      </c>
      <c r="AT110" s="139" t="s">
        <v>147</v>
      </c>
      <c r="AU110" s="139" t="s">
        <v>86</v>
      </c>
      <c r="AY110" s="18" t="s">
        <v>144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8" t="s">
        <v>84</v>
      </c>
      <c r="BK110" s="140">
        <f>ROUND(I110*H110,2)</f>
        <v>0</v>
      </c>
      <c r="BL110" s="18" t="s">
        <v>1728</v>
      </c>
      <c r="BM110" s="139" t="s">
        <v>1749</v>
      </c>
    </row>
    <row r="111" spans="2:65" s="1" customFormat="1" ht="15" customHeight="1">
      <c r="B111" s="33"/>
      <c r="C111" s="128" t="s">
        <v>195</v>
      </c>
      <c r="D111" s="128" t="s">
        <v>147</v>
      </c>
      <c r="E111" s="129" t="s">
        <v>1750</v>
      </c>
      <c r="F111" s="130" t="s">
        <v>1751</v>
      </c>
      <c r="G111" s="131" t="s">
        <v>1280</v>
      </c>
      <c r="H111" s="132">
        <v>1</v>
      </c>
      <c r="I111" s="133"/>
      <c r="J111" s="134">
        <f>ROUND(I111*H111,2)</f>
        <v>0</v>
      </c>
      <c r="K111" s="130" t="s">
        <v>19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1728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1728</v>
      </c>
      <c r="BM111" s="139" t="s">
        <v>1752</v>
      </c>
    </row>
    <row r="112" spans="2:47" s="1" customFormat="1" ht="19.2">
      <c r="B112" s="33"/>
      <c r="D112" s="145" t="s">
        <v>156</v>
      </c>
      <c r="F112" s="146" t="s">
        <v>1753</v>
      </c>
      <c r="I112" s="143"/>
      <c r="L112" s="33"/>
      <c r="M112" s="144"/>
      <c r="T112" s="54"/>
      <c r="AT112" s="18" t="s">
        <v>156</v>
      </c>
      <c r="AU112" s="18" t="s">
        <v>86</v>
      </c>
    </row>
    <row r="113" spans="2:65" s="1" customFormat="1" ht="23.7" customHeight="1">
      <c r="B113" s="33"/>
      <c r="C113" s="128" t="s">
        <v>201</v>
      </c>
      <c r="D113" s="128" t="s">
        <v>147</v>
      </c>
      <c r="E113" s="129" t="s">
        <v>1754</v>
      </c>
      <c r="F113" s="130" t="s">
        <v>1755</v>
      </c>
      <c r="G113" s="131" t="s">
        <v>1280</v>
      </c>
      <c r="H113" s="132">
        <v>1</v>
      </c>
      <c r="I113" s="133"/>
      <c r="J113" s="134">
        <f>ROUND(I113*H113,2)</f>
        <v>0</v>
      </c>
      <c r="K113" s="130" t="s">
        <v>19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1728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1728</v>
      </c>
      <c r="BM113" s="139" t="s">
        <v>1756</v>
      </c>
    </row>
    <row r="114" spans="2:47" s="1" customFormat="1" ht="19.2">
      <c r="B114" s="33"/>
      <c r="D114" s="145" t="s">
        <v>156</v>
      </c>
      <c r="F114" s="146" t="s">
        <v>1757</v>
      </c>
      <c r="I114" s="143"/>
      <c r="L114" s="33"/>
      <c r="M114" s="144"/>
      <c r="T114" s="54"/>
      <c r="AT114" s="18" t="s">
        <v>156</v>
      </c>
      <c r="AU114" s="18" t="s">
        <v>86</v>
      </c>
    </row>
    <row r="115" spans="2:65" s="1" customFormat="1" ht="23.7" customHeight="1">
      <c r="B115" s="33"/>
      <c r="C115" s="128" t="s">
        <v>208</v>
      </c>
      <c r="D115" s="128" t="s">
        <v>147</v>
      </c>
      <c r="E115" s="129" t="s">
        <v>1758</v>
      </c>
      <c r="F115" s="130" t="s">
        <v>1759</v>
      </c>
      <c r="G115" s="131" t="s">
        <v>1280</v>
      </c>
      <c r="H115" s="132">
        <v>1</v>
      </c>
      <c r="I115" s="133"/>
      <c r="J115" s="134">
        <f>ROUND(I115*H115,2)</f>
        <v>0</v>
      </c>
      <c r="K115" s="130" t="s">
        <v>19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1728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1728</v>
      </c>
      <c r="BM115" s="139" t="s">
        <v>1760</v>
      </c>
    </row>
    <row r="116" spans="2:47" s="1" customFormat="1" ht="28.8">
      <c r="B116" s="33"/>
      <c r="D116" s="145" t="s">
        <v>156</v>
      </c>
      <c r="F116" s="146" t="s">
        <v>1761</v>
      </c>
      <c r="I116" s="143"/>
      <c r="L116" s="33"/>
      <c r="M116" s="144"/>
      <c r="T116" s="54"/>
      <c r="AT116" s="18" t="s">
        <v>156</v>
      </c>
      <c r="AU116" s="18" t="s">
        <v>86</v>
      </c>
    </row>
    <row r="117" spans="2:65" s="1" customFormat="1" ht="21.3" customHeight="1">
      <c r="B117" s="33"/>
      <c r="C117" s="128" t="s">
        <v>214</v>
      </c>
      <c r="D117" s="128" t="s">
        <v>147</v>
      </c>
      <c r="E117" s="129" t="s">
        <v>1762</v>
      </c>
      <c r="F117" s="130" t="s">
        <v>1763</v>
      </c>
      <c r="G117" s="131" t="s">
        <v>1280</v>
      </c>
      <c r="H117" s="132">
        <v>1</v>
      </c>
      <c r="I117" s="133"/>
      <c r="J117" s="134">
        <f>ROUND(I117*H117,2)</f>
        <v>0</v>
      </c>
      <c r="K117" s="130" t="s">
        <v>19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</v>
      </c>
      <c r="T117" s="138">
        <f>S117*H117</f>
        <v>0</v>
      </c>
      <c r="AR117" s="139" t="s">
        <v>1728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1728</v>
      </c>
      <c r="BM117" s="139" t="s">
        <v>1764</v>
      </c>
    </row>
    <row r="118" spans="2:47" s="1" customFormat="1" ht="19.2">
      <c r="B118" s="33"/>
      <c r="D118" s="145" t="s">
        <v>156</v>
      </c>
      <c r="F118" s="146" t="s">
        <v>1765</v>
      </c>
      <c r="I118" s="143"/>
      <c r="L118" s="33"/>
      <c r="M118" s="144"/>
      <c r="T118" s="54"/>
      <c r="AT118" s="18" t="s">
        <v>156</v>
      </c>
      <c r="AU118" s="18" t="s">
        <v>86</v>
      </c>
    </row>
    <row r="119" spans="2:65" s="1" customFormat="1" ht="23.7" customHeight="1">
      <c r="B119" s="33"/>
      <c r="C119" s="128" t="s">
        <v>221</v>
      </c>
      <c r="D119" s="128" t="s">
        <v>147</v>
      </c>
      <c r="E119" s="129" t="s">
        <v>1766</v>
      </c>
      <c r="F119" s="130" t="s">
        <v>1767</v>
      </c>
      <c r="G119" s="131" t="s">
        <v>1280</v>
      </c>
      <c r="H119" s="132">
        <v>1</v>
      </c>
      <c r="I119" s="133"/>
      <c r="J119" s="134">
        <f>ROUND(I119*H119,2)</f>
        <v>0</v>
      </c>
      <c r="K119" s="130" t="s">
        <v>19</v>
      </c>
      <c r="L119" s="33"/>
      <c r="M119" s="135" t="s">
        <v>19</v>
      </c>
      <c r="N119" s="136" t="s">
        <v>47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1728</v>
      </c>
      <c r="AT119" s="139" t="s">
        <v>147</v>
      </c>
      <c r="AU119" s="139" t="s">
        <v>86</v>
      </c>
      <c r="AY119" s="18" t="s">
        <v>144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84</v>
      </c>
      <c r="BK119" s="140">
        <f>ROUND(I119*H119,2)</f>
        <v>0</v>
      </c>
      <c r="BL119" s="18" t="s">
        <v>1728</v>
      </c>
      <c r="BM119" s="139" t="s">
        <v>1768</v>
      </c>
    </row>
    <row r="120" spans="2:47" s="1" customFormat="1" ht="28.8">
      <c r="B120" s="33"/>
      <c r="D120" s="145" t="s">
        <v>156</v>
      </c>
      <c r="F120" s="146" t="s">
        <v>1769</v>
      </c>
      <c r="I120" s="143"/>
      <c r="L120" s="33"/>
      <c r="M120" s="144"/>
      <c r="T120" s="54"/>
      <c r="AT120" s="18" t="s">
        <v>156</v>
      </c>
      <c r="AU120" s="18" t="s">
        <v>86</v>
      </c>
    </row>
    <row r="121" spans="2:65" s="1" customFormat="1" ht="23.7" customHeight="1">
      <c r="B121" s="33"/>
      <c r="C121" s="128" t="s">
        <v>225</v>
      </c>
      <c r="D121" s="128" t="s">
        <v>147</v>
      </c>
      <c r="E121" s="129" t="s">
        <v>1770</v>
      </c>
      <c r="F121" s="130" t="s">
        <v>1771</v>
      </c>
      <c r="G121" s="131" t="s">
        <v>1280</v>
      </c>
      <c r="H121" s="132">
        <v>4</v>
      </c>
      <c r="I121" s="133"/>
      <c r="J121" s="134">
        <f>ROUND(I121*H121,2)</f>
        <v>0</v>
      </c>
      <c r="K121" s="130" t="s">
        <v>19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1728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1728</v>
      </c>
      <c r="BM121" s="139" t="s">
        <v>1772</v>
      </c>
    </row>
    <row r="122" spans="2:47" s="1" customFormat="1" ht="28.8">
      <c r="B122" s="33"/>
      <c r="D122" s="145" t="s">
        <v>156</v>
      </c>
      <c r="F122" s="146" t="s">
        <v>1773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5" s="1" customFormat="1" ht="23.7" customHeight="1">
      <c r="B123" s="33"/>
      <c r="C123" s="128" t="s">
        <v>8</v>
      </c>
      <c r="D123" s="128" t="s">
        <v>147</v>
      </c>
      <c r="E123" s="129" t="s">
        <v>1774</v>
      </c>
      <c r="F123" s="130" t="s">
        <v>1775</v>
      </c>
      <c r="G123" s="131" t="s">
        <v>1280</v>
      </c>
      <c r="H123" s="132">
        <v>1</v>
      </c>
      <c r="I123" s="133"/>
      <c r="J123" s="134">
        <f>ROUND(I123*H123,2)</f>
        <v>0</v>
      </c>
      <c r="K123" s="130" t="s">
        <v>19</v>
      </c>
      <c r="L123" s="33"/>
      <c r="M123" s="135" t="s">
        <v>19</v>
      </c>
      <c r="N123" s="136" t="s">
        <v>47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1728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1728</v>
      </c>
      <c r="BM123" s="139" t="s">
        <v>1776</v>
      </c>
    </row>
    <row r="124" spans="2:47" s="1" customFormat="1" ht="19.2">
      <c r="B124" s="33"/>
      <c r="D124" s="145" t="s">
        <v>156</v>
      </c>
      <c r="F124" s="146" t="s">
        <v>1777</v>
      </c>
      <c r="I124" s="143"/>
      <c r="L124" s="33"/>
      <c r="M124" s="144"/>
      <c r="T124" s="54"/>
      <c r="AT124" s="18" t="s">
        <v>156</v>
      </c>
      <c r="AU124" s="18" t="s">
        <v>86</v>
      </c>
    </row>
    <row r="125" spans="2:65" s="1" customFormat="1" ht="15" customHeight="1">
      <c r="B125" s="33"/>
      <c r="C125" s="128" t="s">
        <v>330</v>
      </c>
      <c r="D125" s="128" t="s">
        <v>147</v>
      </c>
      <c r="E125" s="129" t="s">
        <v>1778</v>
      </c>
      <c r="F125" s="130" t="s">
        <v>1779</v>
      </c>
      <c r="G125" s="131" t="s">
        <v>1280</v>
      </c>
      <c r="H125" s="132">
        <v>2</v>
      </c>
      <c r="I125" s="133"/>
      <c r="J125" s="134">
        <f>ROUND(I125*H125,2)</f>
        <v>0</v>
      </c>
      <c r="K125" s="130" t="s">
        <v>19</v>
      </c>
      <c r="L125" s="33"/>
      <c r="M125" s="135" t="s">
        <v>19</v>
      </c>
      <c r="N125" s="136" t="s">
        <v>47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1728</v>
      </c>
      <c r="AT125" s="139" t="s">
        <v>147</v>
      </c>
      <c r="AU125" s="139" t="s">
        <v>86</v>
      </c>
      <c r="AY125" s="18" t="s">
        <v>144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84</v>
      </c>
      <c r="BK125" s="140">
        <f>ROUND(I125*H125,2)</f>
        <v>0</v>
      </c>
      <c r="BL125" s="18" t="s">
        <v>1728</v>
      </c>
      <c r="BM125" s="139" t="s">
        <v>1780</v>
      </c>
    </row>
    <row r="126" spans="2:65" s="1" customFormat="1" ht="15" customHeight="1">
      <c r="B126" s="33"/>
      <c r="C126" s="128" t="s">
        <v>336</v>
      </c>
      <c r="D126" s="128" t="s">
        <v>147</v>
      </c>
      <c r="E126" s="129" t="s">
        <v>1781</v>
      </c>
      <c r="F126" s="130" t="s">
        <v>1782</v>
      </c>
      <c r="G126" s="131" t="s">
        <v>1280</v>
      </c>
      <c r="H126" s="132">
        <v>1</v>
      </c>
      <c r="I126" s="133"/>
      <c r="J126" s="134">
        <f>ROUND(I126*H126,2)</f>
        <v>0</v>
      </c>
      <c r="K126" s="130" t="s">
        <v>19</v>
      </c>
      <c r="L126" s="33"/>
      <c r="M126" s="135" t="s">
        <v>19</v>
      </c>
      <c r="N126" s="136" t="s">
        <v>47</v>
      </c>
      <c r="P126" s="137">
        <f>O126*H126</f>
        <v>0</v>
      </c>
      <c r="Q126" s="137">
        <v>0</v>
      </c>
      <c r="R126" s="137">
        <f>Q126*H126</f>
        <v>0</v>
      </c>
      <c r="S126" s="137">
        <v>0</v>
      </c>
      <c r="T126" s="138">
        <f>S126*H126</f>
        <v>0</v>
      </c>
      <c r="AR126" s="139" t="s">
        <v>1728</v>
      </c>
      <c r="AT126" s="139" t="s">
        <v>147</v>
      </c>
      <c r="AU126" s="139" t="s">
        <v>86</v>
      </c>
      <c r="AY126" s="18" t="s">
        <v>144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8" t="s">
        <v>84</v>
      </c>
      <c r="BK126" s="140">
        <f>ROUND(I126*H126,2)</f>
        <v>0</v>
      </c>
      <c r="BL126" s="18" t="s">
        <v>1728</v>
      </c>
      <c r="BM126" s="139" t="s">
        <v>1783</v>
      </c>
    </row>
    <row r="127" spans="2:65" s="1" customFormat="1" ht="23.7" customHeight="1">
      <c r="B127" s="33"/>
      <c r="C127" s="128" t="s">
        <v>343</v>
      </c>
      <c r="D127" s="128" t="s">
        <v>147</v>
      </c>
      <c r="E127" s="129" t="s">
        <v>1784</v>
      </c>
      <c r="F127" s="130" t="s">
        <v>1785</v>
      </c>
      <c r="G127" s="131" t="s">
        <v>150</v>
      </c>
      <c r="H127" s="132">
        <v>1</v>
      </c>
      <c r="I127" s="133"/>
      <c r="J127" s="134">
        <f>ROUND(I127*H127,2)</f>
        <v>0</v>
      </c>
      <c r="K127" s="130" t="s">
        <v>19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</v>
      </c>
      <c r="R127" s="137">
        <f>Q127*H127</f>
        <v>0</v>
      </c>
      <c r="S127" s="137">
        <v>0</v>
      </c>
      <c r="T127" s="138">
        <f>S127*H127</f>
        <v>0</v>
      </c>
      <c r="AR127" s="139" t="s">
        <v>1728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1728</v>
      </c>
      <c r="BM127" s="139" t="s">
        <v>1786</v>
      </c>
    </row>
    <row r="128" spans="2:47" s="1" customFormat="1" ht="48">
      <c r="B128" s="33"/>
      <c r="D128" s="145" t="s">
        <v>156</v>
      </c>
      <c r="F128" s="146" t="s">
        <v>1787</v>
      </c>
      <c r="I128" s="143"/>
      <c r="L128" s="33"/>
      <c r="M128" s="144"/>
      <c r="T128" s="54"/>
      <c r="AT128" s="18" t="s">
        <v>156</v>
      </c>
      <c r="AU128" s="18" t="s">
        <v>86</v>
      </c>
    </row>
    <row r="129" spans="2:65" s="1" customFormat="1" ht="15" customHeight="1">
      <c r="B129" s="33"/>
      <c r="C129" s="128" t="s">
        <v>350</v>
      </c>
      <c r="D129" s="128" t="s">
        <v>147</v>
      </c>
      <c r="E129" s="129" t="s">
        <v>1788</v>
      </c>
      <c r="F129" s="130" t="s">
        <v>1789</v>
      </c>
      <c r="G129" s="131" t="s">
        <v>150</v>
      </c>
      <c r="H129" s="132">
        <v>12</v>
      </c>
      <c r="I129" s="133"/>
      <c r="J129" s="134">
        <f>ROUND(I129*H129,2)</f>
        <v>0</v>
      </c>
      <c r="K129" s="130" t="s">
        <v>19</v>
      </c>
      <c r="L129" s="33"/>
      <c r="M129" s="147" t="s">
        <v>19</v>
      </c>
      <c r="N129" s="148" t="s">
        <v>47</v>
      </c>
      <c r="O129" s="149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AR129" s="139" t="s">
        <v>1728</v>
      </c>
      <c r="AT129" s="139" t="s">
        <v>147</v>
      </c>
      <c r="AU129" s="139" t="s">
        <v>86</v>
      </c>
      <c r="AY129" s="18" t="s">
        <v>144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84</v>
      </c>
      <c r="BK129" s="140">
        <f>ROUND(I129*H129,2)</f>
        <v>0</v>
      </c>
      <c r="BL129" s="18" t="s">
        <v>1728</v>
      </c>
      <c r="BM129" s="139" t="s">
        <v>1790</v>
      </c>
    </row>
    <row r="130" spans="2:12" s="1" customFormat="1" ht="6.9" customHeight="1"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33"/>
    </row>
  </sheetData>
  <sheetProtection algorithmName="SHA-512" hashValue="SKbrkeMoVqM7hU2Arh0sbsIDMZofam4oVIpAhNbftQhZk/WmP3d69YXTJBHjRAat1dTzDVJQsnZpOyZZt564EQ==" saltValue="0Ncuy3aJVRDXc6DhTaKdKkVJD1m2+ONwNq9V1ZR6kGw8VTTSLAcBHOkmyS1yfzSyfsZhSYGyFv2tNyn49N/2Ww==" spinCount="100000" sheet="1" objects="1" scenarios="1" formatColumns="0" formatRows="0" autoFilter="0"/>
  <autoFilter ref="C81:K12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2/131251103"/>
    <hyperlink ref="F89" r:id="rId2" display="https://podminky.urs.cz/item/CS_URS_2022_02/162351103"/>
    <hyperlink ref="F95" r:id="rId3" display="https://podminky.urs.cz/item/CS_URS_2022_02/167151101"/>
    <hyperlink ref="F99" r:id="rId4" display="https://podminky.urs.cz/item/CS_URS_2022_02/171251201"/>
    <hyperlink ref="F104" r:id="rId5" display="https://podminky.urs.cz/item/CS_URS_2022_02/17415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35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7109375" style="0" customWidth="1"/>
    <col min="3" max="3" width="25.57421875" style="0" customWidth="1"/>
    <col min="4" max="4" width="77.8515625" style="0" customWidth="1"/>
    <col min="5" max="5" width="13.7109375" style="0" customWidth="1"/>
    <col min="6" max="6" width="20.57421875" style="0" customWidth="1"/>
    <col min="7" max="7" width="1.7109375" style="0" customWidth="1"/>
    <col min="8" max="8" width="8.57421875" style="0" customWidth="1"/>
  </cols>
  <sheetData>
    <row r="1" ht="11.25" customHeight="1"/>
    <row r="2" ht="36.9" customHeight="1"/>
    <row r="3" spans="2:8" ht="6.9" customHeight="1">
      <c r="B3" s="19"/>
      <c r="C3" s="20"/>
      <c r="D3" s="20"/>
      <c r="E3" s="20"/>
      <c r="F3" s="20"/>
      <c r="G3" s="20"/>
      <c r="H3" s="21"/>
    </row>
    <row r="4" spans="2:8" ht="24.9" customHeight="1">
      <c r="B4" s="21"/>
      <c r="C4" s="22" t="s">
        <v>1791</v>
      </c>
      <c r="H4" s="21"/>
    </row>
    <row r="5" spans="2:8" ht="12" customHeight="1">
      <c r="B5" s="21"/>
      <c r="C5" s="25" t="s">
        <v>13</v>
      </c>
      <c r="D5" s="471" t="s">
        <v>14</v>
      </c>
      <c r="E5" s="467"/>
      <c r="F5" s="467"/>
      <c r="H5" s="21"/>
    </row>
    <row r="6" spans="2:8" ht="36.9" customHeight="1">
      <c r="B6" s="21"/>
      <c r="C6" s="27" t="s">
        <v>16</v>
      </c>
      <c r="D6" s="468" t="s">
        <v>17</v>
      </c>
      <c r="E6" s="467"/>
      <c r="F6" s="467"/>
      <c r="H6" s="21"/>
    </row>
    <row r="7" spans="2:8" ht="15" customHeight="1">
      <c r="B7" s="21"/>
      <c r="C7" s="28" t="s">
        <v>23</v>
      </c>
      <c r="D7" s="50" t="str">
        <f>'Rekapitulace stavby'!AN8</f>
        <v>22. 10. 2022</v>
      </c>
      <c r="H7" s="21"/>
    </row>
    <row r="8" spans="2:8" s="1" customFormat="1" ht="10.8" customHeight="1">
      <c r="B8" s="33"/>
      <c r="H8" s="33"/>
    </row>
    <row r="9" spans="2:8" s="10" customFormat="1" ht="29.25" customHeight="1">
      <c r="B9" s="108"/>
      <c r="C9" s="109" t="s">
        <v>57</v>
      </c>
      <c r="D9" s="110" t="s">
        <v>58</v>
      </c>
      <c r="E9" s="110" t="s">
        <v>131</v>
      </c>
      <c r="F9" s="111" t="s">
        <v>1792</v>
      </c>
      <c r="H9" s="108"/>
    </row>
    <row r="10" spans="2:8" s="1" customFormat="1" ht="26.4" customHeight="1">
      <c r="B10" s="33"/>
      <c r="C10" s="198" t="s">
        <v>1793</v>
      </c>
      <c r="D10" s="198" t="s">
        <v>97</v>
      </c>
      <c r="H10" s="33"/>
    </row>
    <row r="11" spans="2:8" s="1" customFormat="1" ht="16.8" customHeight="1">
      <c r="B11" s="33"/>
      <c r="C11" s="199" t="s">
        <v>1283</v>
      </c>
      <c r="D11" s="200" t="s">
        <v>1284</v>
      </c>
      <c r="E11" s="201" t="s">
        <v>308</v>
      </c>
      <c r="F11" s="202">
        <v>44</v>
      </c>
      <c r="H11" s="33"/>
    </row>
    <row r="12" spans="2:8" s="1" customFormat="1" ht="16.8" customHeight="1">
      <c r="B12" s="33"/>
      <c r="C12" s="203" t="s">
        <v>19</v>
      </c>
      <c r="D12" s="203" t="s">
        <v>1473</v>
      </c>
      <c r="E12" s="18" t="s">
        <v>19</v>
      </c>
      <c r="F12" s="204">
        <v>39.9</v>
      </c>
      <c r="H12" s="33"/>
    </row>
    <row r="13" spans="2:8" s="1" customFormat="1" ht="16.8" customHeight="1">
      <c r="B13" s="33"/>
      <c r="C13" s="203" t="s">
        <v>19</v>
      </c>
      <c r="D13" s="203" t="s">
        <v>1474</v>
      </c>
      <c r="E13" s="18" t="s">
        <v>19</v>
      </c>
      <c r="F13" s="204">
        <v>4.1</v>
      </c>
      <c r="H13" s="33"/>
    </row>
    <row r="14" spans="2:8" s="1" customFormat="1" ht="16.8" customHeight="1">
      <c r="B14" s="33"/>
      <c r="C14" s="203" t="s">
        <v>1283</v>
      </c>
      <c r="D14" s="203" t="s">
        <v>251</v>
      </c>
      <c r="E14" s="18" t="s">
        <v>19</v>
      </c>
      <c r="F14" s="204">
        <v>44</v>
      </c>
      <c r="H14" s="33"/>
    </row>
    <row r="15" spans="2:8" s="1" customFormat="1" ht="16.8" customHeight="1">
      <c r="B15" s="33"/>
      <c r="C15" s="205" t="s">
        <v>1794</v>
      </c>
      <c r="H15" s="33"/>
    </row>
    <row r="16" spans="2:8" s="1" customFormat="1" ht="20.4">
      <c r="B16" s="33"/>
      <c r="C16" s="203" t="s">
        <v>1469</v>
      </c>
      <c r="D16" s="203" t="s">
        <v>1795</v>
      </c>
      <c r="E16" s="18" t="s">
        <v>308</v>
      </c>
      <c r="F16" s="204">
        <v>44</v>
      </c>
      <c r="H16" s="33"/>
    </row>
    <row r="17" spans="2:8" s="1" customFormat="1" ht="16.8" customHeight="1">
      <c r="B17" s="33"/>
      <c r="C17" s="203" t="s">
        <v>1522</v>
      </c>
      <c r="D17" s="203" t="s">
        <v>1796</v>
      </c>
      <c r="E17" s="18" t="s">
        <v>308</v>
      </c>
      <c r="F17" s="204">
        <v>163.5</v>
      </c>
      <c r="H17" s="33"/>
    </row>
    <row r="18" spans="2:8" s="1" customFormat="1" ht="16.8" customHeight="1">
      <c r="B18" s="33"/>
      <c r="C18" s="203" t="s">
        <v>1475</v>
      </c>
      <c r="D18" s="203" t="s">
        <v>1476</v>
      </c>
      <c r="E18" s="18" t="s">
        <v>308</v>
      </c>
      <c r="F18" s="204">
        <v>44.66</v>
      </c>
      <c r="H18" s="33"/>
    </row>
    <row r="19" spans="2:8" s="1" customFormat="1" ht="16.8" customHeight="1">
      <c r="B19" s="33"/>
      <c r="C19" s="199" t="s">
        <v>1261</v>
      </c>
      <c r="D19" s="200" t="s">
        <v>1262</v>
      </c>
      <c r="E19" s="201" t="s">
        <v>324</v>
      </c>
      <c r="F19" s="202">
        <v>22.455</v>
      </c>
      <c r="H19" s="33"/>
    </row>
    <row r="20" spans="2:8" s="1" customFormat="1" ht="16.8" customHeight="1">
      <c r="B20" s="33"/>
      <c r="C20" s="203" t="s">
        <v>19</v>
      </c>
      <c r="D20" s="203" t="s">
        <v>1406</v>
      </c>
      <c r="E20" s="18" t="s">
        <v>19</v>
      </c>
      <c r="F20" s="204">
        <v>0.708</v>
      </c>
      <c r="H20" s="33"/>
    </row>
    <row r="21" spans="2:8" s="1" customFormat="1" ht="16.8" customHeight="1">
      <c r="B21" s="33"/>
      <c r="C21" s="203" t="s">
        <v>19</v>
      </c>
      <c r="D21" s="203" t="s">
        <v>1407</v>
      </c>
      <c r="E21" s="18" t="s">
        <v>19</v>
      </c>
      <c r="F21" s="204">
        <v>0.192</v>
      </c>
      <c r="H21" s="33"/>
    </row>
    <row r="22" spans="2:8" s="1" customFormat="1" ht="16.8" customHeight="1">
      <c r="B22" s="33"/>
      <c r="C22" s="203" t="s">
        <v>19</v>
      </c>
      <c r="D22" s="203" t="s">
        <v>1408</v>
      </c>
      <c r="E22" s="18" t="s">
        <v>19</v>
      </c>
      <c r="F22" s="204">
        <v>5.28</v>
      </c>
      <c r="H22" s="33"/>
    </row>
    <row r="23" spans="2:8" s="1" customFormat="1" ht="16.8" customHeight="1">
      <c r="B23" s="33"/>
      <c r="C23" s="203" t="s">
        <v>19</v>
      </c>
      <c r="D23" s="203" t="s">
        <v>1409</v>
      </c>
      <c r="E23" s="18" t="s">
        <v>19</v>
      </c>
      <c r="F23" s="204">
        <v>3.3</v>
      </c>
      <c r="H23" s="33"/>
    </row>
    <row r="24" spans="2:8" s="1" customFormat="1" ht="16.8" customHeight="1">
      <c r="B24" s="33"/>
      <c r="C24" s="203" t="s">
        <v>19</v>
      </c>
      <c r="D24" s="203" t="s">
        <v>1410</v>
      </c>
      <c r="E24" s="18" t="s">
        <v>19</v>
      </c>
      <c r="F24" s="204">
        <v>0.375</v>
      </c>
      <c r="H24" s="33"/>
    </row>
    <row r="25" spans="2:8" s="1" customFormat="1" ht="16.8" customHeight="1">
      <c r="B25" s="33"/>
      <c r="C25" s="203" t="s">
        <v>19</v>
      </c>
      <c r="D25" s="203" t="s">
        <v>1411</v>
      </c>
      <c r="E25" s="18" t="s">
        <v>19</v>
      </c>
      <c r="F25" s="204">
        <v>12.6</v>
      </c>
      <c r="H25" s="33"/>
    </row>
    <row r="26" spans="2:8" s="1" customFormat="1" ht="16.8" customHeight="1">
      <c r="B26" s="33"/>
      <c r="C26" s="203" t="s">
        <v>1261</v>
      </c>
      <c r="D26" s="203" t="s">
        <v>251</v>
      </c>
      <c r="E26" s="18" t="s">
        <v>19</v>
      </c>
      <c r="F26" s="204">
        <v>22.455</v>
      </c>
      <c r="H26" s="33"/>
    </row>
    <row r="27" spans="2:8" s="1" customFormat="1" ht="16.8" customHeight="1">
      <c r="B27" s="33"/>
      <c r="C27" s="205" t="s">
        <v>1794</v>
      </c>
      <c r="H27" s="33"/>
    </row>
    <row r="28" spans="2:8" s="1" customFormat="1" ht="16.8" customHeight="1">
      <c r="B28" s="33"/>
      <c r="C28" s="203" t="s">
        <v>1402</v>
      </c>
      <c r="D28" s="203" t="s">
        <v>1797</v>
      </c>
      <c r="E28" s="18" t="s">
        <v>324</v>
      </c>
      <c r="F28" s="204">
        <v>22.455</v>
      </c>
      <c r="H28" s="33"/>
    </row>
    <row r="29" spans="2:8" s="1" customFormat="1" ht="16.8" customHeight="1">
      <c r="B29" s="33"/>
      <c r="C29" s="203" t="s">
        <v>398</v>
      </c>
      <c r="D29" s="203" t="s">
        <v>399</v>
      </c>
      <c r="E29" s="18" t="s">
        <v>324</v>
      </c>
      <c r="F29" s="204">
        <v>460.459</v>
      </c>
      <c r="H29" s="33"/>
    </row>
    <row r="30" spans="2:8" s="1" customFormat="1" ht="16.8" customHeight="1">
      <c r="B30" s="33"/>
      <c r="C30" s="199" t="s">
        <v>1265</v>
      </c>
      <c r="D30" s="200" t="s">
        <v>1266</v>
      </c>
      <c r="E30" s="201" t="s">
        <v>324</v>
      </c>
      <c r="F30" s="202">
        <v>10.557</v>
      </c>
      <c r="H30" s="33"/>
    </row>
    <row r="31" spans="2:8" s="1" customFormat="1" ht="16.8" customHeight="1">
      <c r="B31" s="33"/>
      <c r="C31" s="203" t="s">
        <v>19</v>
      </c>
      <c r="D31" s="203" t="s">
        <v>1435</v>
      </c>
      <c r="E31" s="18" t="s">
        <v>19</v>
      </c>
      <c r="F31" s="204">
        <v>8.832</v>
      </c>
      <c r="H31" s="33"/>
    </row>
    <row r="32" spans="2:8" s="1" customFormat="1" ht="16.8" customHeight="1">
      <c r="B32" s="33"/>
      <c r="C32" s="203" t="s">
        <v>19</v>
      </c>
      <c r="D32" s="203" t="s">
        <v>1436</v>
      </c>
      <c r="E32" s="18" t="s">
        <v>19</v>
      </c>
      <c r="F32" s="204">
        <v>1.35</v>
      </c>
      <c r="H32" s="33"/>
    </row>
    <row r="33" spans="2:8" s="1" customFormat="1" ht="16.8" customHeight="1">
      <c r="B33" s="33"/>
      <c r="C33" s="203" t="s">
        <v>19</v>
      </c>
      <c r="D33" s="203" t="s">
        <v>1410</v>
      </c>
      <c r="E33" s="18" t="s">
        <v>19</v>
      </c>
      <c r="F33" s="204">
        <v>0.375</v>
      </c>
      <c r="H33" s="33"/>
    </row>
    <row r="34" spans="2:8" s="1" customFormat="1" ht="16.8" customHeight="1">
      <c r="B34" s="33"/>
      <c r="C34" s="203" t="s">
        <v>1265</v>
      </c>
      <c r="D34" s="203" t="s">
        <v>251</v>
      </c>
      <c r="E34" s="18" t="s">
        <v>19</v>
      </c>
      <c r="F34" s="204">
        <v>10.557</v>
      </c>
      <c r="H34" s="33"/>
    </row>
    <row r="35" spans="2:8" s="1" customFormat="1" ht="16.8" customHeight="1">
      <c r="B35" s="33"/>
      <c r="C35" s="205" t="s">
        <v>1794</v>
      </c>
      <c r="H35" s="33"/>
    </row>
    <row r="36" spans="2:8" s="1" customFormat="1" ht="16.8" customHeight="1">
      <c r="B36" s="33"/>
      <c r="C36" s="203" t="s">
        <v>1431</v>
      </c>
      <c r="D36" s="203" t="s">
        <v>1266</v>
      </c>
      <c r="E36" s="18" t="s">
        <v>324</v>
      </c>
      <c r="F36" s="204">
        <v>10.557</v>
      </c>
      <c r="H36" s="33"/>
    </row>
    <row r="37" spans="2:8" s="1" customFormat="1" ht="16.8" customHeight="1">
      <c r="B37" s="33"/>
      <c r="C37" s="203" t="s">
        <v>398</v>
      </c>
      <c r="D37" s="203" t="s">
        <v>399</v>
      </c>
      <c r="E37" s="18" t="s">
        <v>324</v>
      </c>
      <c r="F37" s="204">
        <v>460.459</v>
      </c>
      <c r="H37" s="33"/>
    </row>
    <row r="38" spans="2:8" s="1" customFormat="1" ht="16.8" customHeight="1">
      <c r="B38" s="33"/>
      <c r="C38" s="199" t="s">
        <v>1268</v>
      </c>
      <c r="D38" s="200" t="s">
        <v>1269</v>
      </c>
      <c r="E38" s="201" t="s">
        <v>324</v>
      </c>
      <c r="F38" s="202">
        <v>107.8</v>
      </c>
      <c r="H38" s="33"/>
    </row>
    <row r="39" spans="2:8" s="1" customFormat="1" ht="16.8" customHeight="1">
      <c r="B39" s="33"/>
      <c r="C39" s="203" t="s">
        <v>19</v>
      </c>
      <c r="D39" s="203" t="s">
        <v>1362</v>
      </c>
      <c r="E39" s="18" t="s">
        <v>19</v>
      </c>
      <c r="F39" s="204">
        <v>79.754</v>
      </c>
      <c r="H39" s="33"/>
    </row>
    <row r="40" spans="2:8" s="1" customFormat="1" ht="16.8" customHeight="1">
      <c r="B40" s="33"/>
      <c r="C40" s="203" t="s">
        <v>19</v>
      </c>
      <c r="D40" s="203" t="s">
        <v>1363</v>
      </c>
      <c r="E40" s="18" t="s">
        <v>19</v>
      </c>
      <c r="F40" s="204">
        <v>40.44</v>
      </c>
      <c r="H40" s="33"/>
    </row>
    <row r="41" spans="2:8" s="1" customFormat="1" ht="16.8" customHeight="1">
      <c r="B41" s="33"/>
      <c r="C41" s="203" t="s">
        <v>19</v>
      </c>
      <c r="D41" s="203" t="s">
        <v>1364</v>
      </c>
      <c r="E41" s="18" t="s">
        <v>19</v>
      </c>
      <c r="F41" s="204">
        <v>-9.885</v>
      </c>
      <c r="H41" s="33"/>
    </row>
    <row r="42" spans="2:8" s="1" customFormat="1" ht="16.8" customHeight="1">
      <c r="B42" s="33"/>
      <c r="C42" s="203" t="s">
        <v>19</v>
      </c>
      <c r="D42" s="203" t="s">
        <v>1365</v>
      </c>
      <c r="E42" s="18" t="s">
        <v>19</v>
      </c>
      <c r="F42" s="204">
        <v>-0.145</v>
      </c>
      <c r="H42" s="33"/>
    </row>
    <row r="43" spans="2:8" s="1" customFormat="1" ht="16.8" customHeight="1">
      <c r="B43" s="33"/>
      <c r="C43" s="203" t="s">
        <v>19</v>
      </c>
      <c r="D43" s="203" t="s">
        <v>1366</v>
      </c>
      <c r="E43" s="18" t="s">
        <v>19</v>
      </c>
      <c r="F43" s="204">
        <v>-1.12</v>
      </c>
      <c r="H43" s="33"/>
    </row>
    <row r="44" spans="2:8" s="1" customFormat="1" ht="16.8" customHeight="1">
      <c r="B44" s="33"/>
      <c r="C44" s="203" t="s">
        <v>19</v>
      </c>
      <c r="D44" s="203" t="s">
        <v>1367</v>
      </c>
      <c r="E44" s="18" t="s">
        <v>19</v>
      </c>
      <c r="F44" s="204">
        <v>-1.244</v>
      </c>
      <c r="H44" s="33"/>
    </row>
    <row r="45" spans="2:8" s="1" customFormat="1" ht="16.8" customHeight="1">
      <c r="B45" s="33"/>
      <c r="C45" s="203" t="s">
        <v>1268</v>
      </c>
      <c r="D45" s="203" t="s">
        <v>251</v>
      </c>
      <c r="E45" s="18" t="s">
        <v>19</v>
      </c>
      <c r="F45" s="204">
        <v>107.8</v>
      </c>
      <c r="H45" s="33"/>
    </row>
    <row r="46" spans="2:8" s="1" customFormat="1" ht="16.8" customHeight="1">
      <c r="B46" s="33"/>
      <c r="C46" s="205" t="s">
        <v>1794</v>
      </c>
      <c r="H46" s="33"/>
    </row>
    <row r="47" spans="2:8" s="1" customFormat="1" ht="16.8" customHeight="1">
      <c r="B47" s="33"/>
      <c r="C47" s="203" t="s">
        <v>404</v>
      </c>
      <c r="D47" s="203" t="s">
        <v>1269</v>
      </c>
      <c r="E47" s="18" t="s">
        <v>324</v>
      </c>
      <c r="F47" s="204">
        <v>107.8</v>
      </c>
      <c r="H47" s="33"/>
    </row>
    <row r="48" spans="2:8" s="1" customFormat="1" ht="16.8" customHeight="1">
      <c r="B48" s="33"/>
      <c r="C48" s="203" t="s">
        <v>398</v>
      </c>
      <c r="D48" s="203" t="s">
        <v>399</v>
      </c>
      <c r="E48" s="18" t="s">
        <v>324</v>
      </c>
      <c r="F48" s="204">
        <v>460.459</v>
      </c>
      <c r="H48" s="33"/>
    </row>
    <row r="49" spans="2:8" s="1" customFormat="1" ht="16.8" customHeight="1">
      <c r="B49" s="33"/>
      <c r="C49" s="199" t="s">
        <v>1356</v>
      </c>
      <c r="D49" s="200" t="s">
        <v>1356</v>
      </c>
      <c r="E49" s="201" t="s">
        <v>19</v>
      </c>
      <c r="F49" s="202">
        <v>460.459</v>
      </c>
      <c r="H49" s="33"/>
    </row>
    <row r="50" spans="2:8" s="1" customFormat="1" ht="16.8" customHeight="1">
      <c r="B50" s="33"/>
      <c r="C50" s="203" t="s">
        <v>19</v>
      </c>
      <c r="D50" s="203" t="s">
        <v>1349</v>
      </c>
      <c r="E50" s="18" t="s">
        <v>19</v>
      </c>
      <c r="F50" s="204">
        <v>371.411</v>
      </c>
      <c r="H50" s="33"/>
    </row>
    <row r="51" spans="2:8" s="1" customFormat="1" ht="16.8" customHeight="1">
      <c r="B51" s="33"/>
      <c r="C51" s="203" t="s">
        <v>19</v>
      </c>
      <c r="D51" s="203" t="s">
        <v>1350</v>
      </c>
      <c r="E51" s="18" t="s">
        <v>19</v>
      </c>
      <c r="F51" s="204">
        <v>273.42</v>
      </c>
      <c r="H51" s="33"/>
    </row>
    <row r="52" spans="2:8" s="1" customFormat="1" ht="16.8" customHeight="1">
      <c r="B52" s="33"/>
      <c r="C52" s="203" t="s">
        <v>19</v>
      </c>
      <c r="D52" s="203" t="s">
        <v>1351</v>
      </c>
      <c r="E52" s="18" t="s">
        <v>19</v>
      </c>
      <c r="F52" s="204">
        <v>19.8</v>
      </c>
      <c r="H52" s="33"/>
    </row>
    <row r="53" spans="2:8" s="1" customFormat="1" ht="16.8" customHeight="1">
      <c r="B53" s="33"/>
      <c r="C53" s="203" t="s">
        <v>19</v>
      </c>
      <c r="D53" s="203" t="s">
        <v>1352</v>
      </c>
      <c r="E53" s="18" t="s">
        <v>19</v>
      </c>
      <c r="F53" s="204">
        <v>-22.455</v>
      </c>
      <c r="H53" s="33"/>
    </row>
    <row r="54" spans="2:8" s="1" customFormat="1" ht="16.8" customHeight="1">
      <c r="B54" s="33"/>
      <c r="C54" s="203" t="s">
        <v>19</v>
      </c>
      <c r="D54" s="203" t="s">
        <v>1353</v>
      </c>
      <c r="E54" s="18" t="s">
        <v>19</v>
      </c>
      <c r="F54" s="204">
        <v>-10.557</v>
      </c>
      <c r="H54" s="33"/>
    </row>
    <row r="55" spans="2:8" s="1" customFormat="1" ht="16.8" customHeight="1">
      <c r="B55" s="33"/>
      <c r="C55" s="203" t="s">
        <v>19</v>
      </c>
      <c r="D55" s="203" t="s">
        <v>1354</v>
      </c>
      <c r="E55" s="18" t="s">
        <v>19</v>
      </c>
      <c r="F55" s="204">
        <v>-107.8</v>
      </c>
      <c r="H55" s="33"/>
    </row>
    <row r="56" spans="2:8" s="1" customFormat="1" ht="16.8" customHeight="1">
      <c r="B56" s="33"/>
      <c r="C56" s="203" t="s">
        <v>19</v>
      </c>
      <c r="D56" s="203" t="s">
        <v>1355</v>
      </c>
      <c r="E56" s="18" t="s">
        <v>19</v>
      </c>
      <c r="F56" s="204">
        <v>-63.36</v>
      </c>
      <c r="H56" s="33"/>
    </row>
    <row r="57" spans="2:8" s="1" customFormat="1" ht="16.8" customHeight="1">
      <c r="B57" s="33"/>
      <c r="C57" s="203" t="s">
        <v>1356</v>
      </c>
      <c r="D57" s="203" t="s">
        <v>251</v>
      </c>
      <c r="E57" s="18" t="s">
        <v>19</v>
      </c>
      <c r="F57" s="204">
        <v>460.459</v>
      </c>
      <c r="H57" s="33"/>
    </row>
    <row r="58" spans="2:8" s="1" customFormat="1" ht="16.8" customHeight="1">
      <c r="B58" s="33"/>
      <c r="C58" s="199" t="s">
        <v>1255</v>
      </c>
      <c r="D58" s="200" t="s">
        <v>1256</v>
      </c>
      <c r="E58" s="201" t="s">
        <v>246</v>
      </c>
      <c r="F58" s="202">
        <v>759.306</v>
      </c>
      <c r="H58" s="33"/>
    </row>
    <row r="59" spans="2:8" s="1" customFormat="1" ht="16.8" customHeight="1">
      <c r="B59" s="33"/>
      <c r="C59" s="203" t="s">
        <v>19</v>
      </c>
      <c r="D59" s="203" t="s">
        <v>1318</v>
      </c>
      <c r="E59" s="18" t="s">
        <v>19</v>
      </c>
      <c r="F59" s="204">
        <v>437.038</v>
      </c>
      <c r="H59" s="33"/>
    </row>
    <row r="60" spans="2:8" s="1" customFormat="1" ht="16.8" customHeight="1">
      <c r="B60" s="33"/>
      <c r="C60" s="203" t="s">
        <v>19</v>
      </c>
      <c r="D60" s="203" t="s">
        <v>1319</v>
      </c>
      <c r="E60" s="18" t="s">
        <v>19</v>
      </c>
      <c r="F60" s="204">
        <v>181.98</v>
      </c>
      <c r="H60" s="33"/>
    </row>
    <row r="61" spans="2:8" s="1" customFormat="1" ht="16.8" customHeight="1">
      <c r="B61" s="33"/>
      <c r="C61" s="203" t="s">
        <v>19</v>
      </c>
      <c r="D61" s="203" t="s">
        <v>1320</v>
      </c>
      <c r="E61" s="18" t="s">
        <v>19</v>
      </c>
      <c r="F61" s="204">
        <v>100.688</v>
      </c>
      <c r="H61" s="33"/>
    </row>
    <row r="62" spans="2:8" s="1" customFormat="1" ht="16.8" customHeight="1">
      <c r="B62" s="33"/>
      <c r="C62" s="203" t="s">
        <v>19</v>
      </c>
      <c r="D62" s="203" t="s">
        <v>1321</v>
      </c>
      <c r="E62" s="18" t="s">
        <v>19</v>
      </c>
      <c r="F62" s="204">
        <v>39.6</v>
      </c>
      <c r="H62" s="33"/>
    </row>
    <row r="63" spans="2:8" s="1" customFormat="1" ht="16.8" customHeight="1">
      <c r="B63" s="33"/>
      <c r="C63" s="203" t="s">
        <v>1255</v>
      </c>
      <c r="D63" s="203" t="s">
        <v>251</v>
      </c>
      <c r="E63" s="18" t="s">
        <v>19</v>
      </c>
      <c r="F63" s="204">
        <v>759.306</v>
      </c>
      <c r="H63" s="33"/>
    </row>
    <row r="64" spans="2:8" s="1" customFormat="1" ht="16.8" customHeight="1">
      <c r="B64" s="33"/>
      <c r="C64" s="205" t="s">
        <v>1794</v>
      </c>
      <c r="H64" s="33"/>
    </row>
    <row r="65" spans="2:8" s="1" customFormat="1" ht="16.8" customHeight="1">
      <c r="B65" s="33"/>
      <c r="C65" s="203" t="s">
        <v>1314</v>
      </c>
      <c r="D65" s="203" t="s">
        <v>1256</v>
      </c>
      <c r="E65" s="18" t="s">
        <v>246</v>
      </c>
      <c r="F65" s="204">
        <v>759.306</v>
      </c>
      <c r="H65" s="33"/>
    </row>
    <row r="66" spans="2:8" s="1" customFormat="1" ht="16.8" customHeight="1">
      <c r="B66" s="33"/>
      <c r="C66" s="203" t="s">
        <v>1322</v>
      </c>
      <c r="D66" s="203" t="s">
        <v>1798</v>
      </c>
      <c r="E66" s="18" t="s">
        <v>246</v>
      </c>
      <c r="F66" s="204">
        <v>759.306</v>
      </c>
      <c r="H66" s="33"/>
    </row>
    <row r="67" spans="2:8" s="1" customFormat="1" ht="24">
      <c r="B67" s="33"/>
      <c r="C67" s="199" t="s">
        <v>1252</v>
      </c>
      <c r="D67" s="200" t="s">
        <v>1253</v>
      </c>
      <c r="E67" s="201" t="s">
        <v>324</v>
      </c>
      <c r="F67" s="202">
        <v>19.8</v>
      </c>
      <c r="H67" s="33"/>
    </row>
    <row r="68" spans="2:8" s="1" customFormat="1" ht="16.8" customHeight="1">
      <c r="B68" s="33"/>
      <c r="C68" s="203" t="s">
        <v>1252</v>
      </c>
      <c r="D68" s="203" t="s">
        <v>1313</v>
      </c>
      <c r="E68" s="18" t="s">
        <v>19</v>
      </c>
      <c r="F68" s="204">
        <v>19.8</v>
      </c>
      <c r="H68" s="33"/>
    </row>
    <row r="69" spans="2:8" s="1" customFormat="1" ht="16.8" customHeight="1">
      <c r="B69" s="33"/>
      <c r="C69" s="205" t="s">
        <v>1794</v>
      </c>
      <c r="H69" s="33"/>
    </row>
    <row r="70" spans="2:8" s="1" customFormat="1" ht="20.4">
      <c r="B70" s="33"/>
      <c r="C70" s="203" t="s">
        <v>1309</v>
      </c>
      <c r="D70" s="203" t="s">
        <v>1799</v>
      </c>
      <c r="E70" s="18" t="s">
        <v>324</v>
      </c>
      <c r="F70" s="204">
        <v>19.8</v>
      </c>
      <c r="H70" s="33"/>
    </row>
    <row r="71" spans="2:8" s="1" customFormat="1" ht="20.4">
      <c r="B71" s="33"/>
      <c r="C71" s="203" t="s">
        <v>361</v>
      </c>
      <c r="D71" s="203" t="s">
        <v>1800</v>
      </c>
      <c r="E71" s="18" t="s">
        <v>324</v>
      </c>
      <c r="F71" s="204">
        <v>664.631</v>
      </c>
      <c r="H71" s="33"/>
    </row>
    <row r="72" spans="2:8" s="1" customFormat="1" ht="16.8" customHeight="1">
      <c r="B72" s="33"/>
      <c r="C72" s="203" t="s">
        <v>398</v>
      </c>
      <c r="D72" s="203" t="s">
        <v>399</v>
      </c>
      <c r="E72" s="18" t="s">
        <v>324</v>
      </c>
      <c r="F72" s="204">
        <v>460.459</v>
      </c>
      <c r="H72" s="33"/>
    </row>
    <row r="73" spans="2:8" s="1" customFormat="1" ht="16.8" customHeight="1">
      <c r="B73" s="33"/>
      <c r="C73" s="199" t="s">
        <v>1244</v>
      </c>
      <c r="D73" s="200" t="s">
        <v>1245</v>
      </c>
      <c r="E73" s="201" t="s">
        <v>246</v>
      </c>
      <c r="F73" s="202">
        <v>84</v>
      </c>
      <c r="H73" s="33"/>
    </row>
    <row r="74" spans="2:8" s="1" customFormat="1" ht="16.8" customHeight="1">
      <c r="B74" s="33"/>
      <c r="C74" s="203" t="s">
        <v>1244</v>
      </c>
      <c r="D74" s="203" t="s">
        <v>1297</v>
      </c>
      <c r="E74" s="18" t="s">
        <v>19</v>
      </c>
      <c r="F74" s="204">
        <v>84</v>
      </c>
      <c r="H74" s="33"/>
    </row>
    <row r="75" spans="2:8" s="1" customFormat="1" ht="16.8" customHeight="1">
      <c r="B75" s="33"/>
      <c r="C75" s="205" t="s">
        <v>1794</v>
      </c>
      <c r="H75" s="33"/>
    </row>
    <row r="76" spans="2:8" s="1" customFormat="1" ht="16.8" customHeight="1">
      <c r="B76" s="33"/>
      <c r="C76" s="203" t="s">
        <v>1293</v>
      </c>
      <c r="D76" s="203" t="s">
        <v>1245</v>
      </c>
      <c r="E76" s="18" t="s">
        <v>246</v>
      </c>
      <c r="F76" s="204">
        <v>84</v>
      </c>
      <c r="H76" s="33"/>
    </row>
    <row r="77" spans="2:8" s="1" customFormat="1" ht="20.4">
      <c r="B77" s="33"/>
      <c r="C77" s="203" t="s">
        <v>1326</v>
      </c>
      <c r="D77" s="203" t="s">
        <v>1801</v>
      </c>
      <c r="E77" s="18" t="s">
        <v>324</v>
      </c>
      <c r="F77" s="204">
        <v>50.4</v>
      </c>
      <c r="H77" s="33"/>
    </row>
    <row r="78" spans="2:8" s="1" customFormat="1" ht="16.8" customHeight="1">
      <c r="B78" s="33"/>
      <c r="C78" s="203" t="s">
        <v>1334</v>
      </c>
      <c r="D78" s="203" t="s">
        <v>1802</v>
      </c>
      <c r="E78" s="18" t="s">
        <v>324</v>
      </c>
      <c r="F78" s="204">
        <v>25.2</v>
      </c>
      <c r="H78" s="33"/>
    </row>
    <row r="79" spans="2:8" s="1" customFormat="1" ht="20.4">
      <c r="B79" s="33"/>
      <c r="C79" s="203" t="s">
        <v>1371</v>
      </c>
      <c r="D79" s="203" t="s">
        <v>1803</v>
      </c>
      <c r="E79" s="18" t="s">
        <v>246</v>
      </c>
      <c r="F79" s="204">
        <v>84</v>
      </c>
      <c r="H79" s="33"/>
    </row>
    <row r="80" spans="2:8" s="1" customFormat="1" ht="20.4">
      <c r="B80" s="33"/>
      <c r="C80" s="203" t="s">
        <v>1379</v>
      </c>
      <c r="D80" s="203" t="s">
        <v>1804</v>
      </c>
      <c r="E80" s="18" t="s">
        <v>246</v>
      </c>
      <c r="F80" s="204">
        <v>84</v>
      </c>
      <c r="H80" s="33"/>
    </row>
    <row r="81" spans="2:8" s="1" customFormat="1" ht="16.8" customHeight="1">
      <c r="B81" s="33"/>
      <c r="C81" s="199" t="s">
        <v>1258</v>
      </c>
      <c r="D81" s="200" t="s">
        <v>1259</v>
      </c>
      <c r="E81" s="201" t="s">
        <v>324</v>
      </c>
      <c r="F81" s="202">
        <v>664.631</v>
      </c>
      <c r="H81" s="33"/>
    </row>
    <row r="82" spans="2:8" s="1" customFormat="1" ht="16.8" customHeight="1">
      <c r="B82" s="33"/>
      <c r="C82" s="203" t="s">
        <v>19</v>
      </c>
      <c r="D82" s="203" t="s">
        <v>1249</v>
      </c>
      <c r="E82" s="18" t="s">
        <v>19</v>
      </c>
      <c r="F82" s="204">
        <v>371.411</v>
      </c>
      <c r="H82" s="33"/>
    </row>
    <row r="83" spans="2:8" s="1" customFormat="1" ht="16.8" customHeight="1">
      <c r="B83" s="33"/>
      <c r="C83" s="203" t="s">
        <v>19</v>
      </c>
      <c r="D83" s="203" t="s">
        <v>1246</v>
      </c>
      <c r="E83" s="18" t="s">
        <v>19</v>
      </c>
      <c r="F83" s="204">
        <v>273.42</v>
      </c>
      <c r="H83" s="33"/>
    </row>
    <row r="84" spans="2:8" s="1" customFormat="1" ht="16.8" customHeight="1">
      <c r="B84" s="33"/>
      <c r="C84" s="203" t="s">
        <v>19</v>
      </c>
      <c r="D84" s="203" t="s">
        <v>1252</v>
      </c>
      <c r="E84" s="18" t="s">
        <v>19</v>
      </c>
      <c r="F84" s="204">
        <v>19.8</v>
      </c>
      <c r="H84" s="33"/>
    </row>
    <row r="85" spans="2:8" s="1" customFormat="1" ht="16.8" customHeight="1">
      <c r="B85" s="33"/>
      <c r="C85" s="203" t="s">
        <v>1258</v>
      </c>
      <c r="D85" s="203" t="s">
        <v>251</v>
      </c>
      <c r="E85" s="18" t="s">
        <v>19</v>
      </c>
      <c r="F85" s="204">
        <v>664.631</v>
      </c>
      <c r="H85" s="33"/>
    </row>
    <row r="86" spans="2:8" s="1" customFormat="1" ht="16.8" customHeight="1">
      <c r="B86" s="33"/>
      <c r="C86" s="205" t="s">
        <v>1794</v>
      </c>
      <c r="H86" s="33"/>
    </row>
    <row r="87" spans="2:8" s="1" customFormat="1" ht="20.4">
      <c r="B87" s="33"/>
      <c r="C87" s="203" t="s">
        <v>361</v>
      </c>
      <c r="D87" s="203" t="s">
        <v>1800</v>
      </c>
      <c r="E87" s="18" t="s">
        <v>324</v>
      </c>
      <c r="F87" s="204">
        <v>664.631</v>
      </c>
      <c r="H87" s="33"/>
    </row>
    <row r="88" spans="2:8" s="1" customFormat="1" ht="20.4">
      <c r="B88" s="33"/>
      <c r="C88" s="203" t="s">
        <v>369</v>
      </c>
      <c r="D88" s="203" t="s">
        <v>1805</v>
      </c>
      <c r="E88" s="18" t="s">
        <v>324</v>
      </c>
      <c r="F88" s="204">
        <v>6646.31</v>
      </c>
      <c r="H88" s="33"/>
    </row>
    <row r="89" spans="2:8" s="1" customFormat="1" ht="16.8" customHeight="1">
      <c r="B89" s="33"/>
      <c r="C89" s="203" t="s">
        <v>1339</v>
      </c>
      <c r="D89" s="203" t="s">
        <v>1340</v>
      </c>
      <c r="E89" s="18" t="s">
        <v>324</v>
      </c>
      <c r="F89" s="204">
        <v>664.631</v>
      </c>
      <c r="H89" s="33"/>
    </row>
    <row r="90" spans="2:8" s="1" customFormat="1" ht="20.4">
      <c r="B90" s="33"/>
      <c r="C90" s="203" t="s">
        <v>1342</v>
      </c>
      <c r="D90" s="203" t="s">
        <v>1806</v>
      </c>
      <c r="E90" s="18" t="s">
        <v>413</v>
      </c>
      <c r="F90" s="204">
        <v>1063.41</v>
      </c>
      <c r="H90" s="33"/>
    </row>
    <row r="91" spans="2:8" s="1" customFormat="1" ht="16.8" customHeight="1">
      <c r="B91" s="33"/>
      <c r="C91" s="199" t="s">
        <v>1281</v>
      </c>
      <c r="D91" s="200" t="s">
        <v>1282</v>
      </c>
      <c r="E91" s="201" t="s">
        <v>19</v>
      </c>
      <c r="F91" s="202">
        <v>92</v>
      </c>
      <c r="H91" s="33"/>
    </row>
    <row r="92" spans="2:8" s="1" customFormat="1" ht="16.8" customHeight="1">
      <c r="B92" s="33"/>
      <c r="C92" s="203" t="s">
        <v>1281</v>
      </c>
      <c r="D92" s="203" t="s">
        <v>780</v>
      </c>
      <c r="E92" s="18" t="s">
        <v>19</v>
      </c>
      <c r="F92" s="204">
        <v>92</v>
      </c>
      <c r="H92" s="33"/>
    </row>
    <row r="93" spans="2:8" s="1" customFormat="1" ht="16.8" customHeight="1">
      <c r="B93" s="33"/>
      <c r="C93" s="205" t="s">
        <v>1794</v>
      </c>
      <c r="H93" s="33"/>
    </row>
    <row r="94" spans="2:8" s="1" customFormat="1" ht="20.4">
      <c r="B94" s="33"/>
      <c r="C94" s="203" t="s">
        <v>1461</v>
      </c>
      <c r="D94" s="203" t="s">
        <v>1807</v>
      </c>
      <c r="E94" s="18" t="s">
        <v>308</v>
      </c>
      <c r="F94" s="204">
        <v>92</v>
      </c>
      <c r="H94" s="33"/>
    </row>
    <row r="95" spans="2:8" s="1" customFormat="1" ht="16.8" customHeight="1">
      <c r="B95" s="33"/>
      <c r="C95" s="203" t="s">
        <v>1522</v>
      </c>
      <c r="D95" s="203" t="s">
        <v>1796</v>
      </c>
      <c r="E95" s="18" t="s">
        <v>308</v>
      </c>
      <c r="F95" s="204">
        <v>163.5</v>
      </c>
      <c r="H95" s="33"/>
    </row>
    <row r="96" spans="2:8" s="1" customFormat="1" ht="16.8" customHeight="1">
      <c r="B96" s="33"/>
      <c r="C96" s="203" t="s">
        <v>1465</v>
      </c>
      <c r="D96" s="203" t="s">
        <v>1466</v>
      </c>
      <c r="E96" s="18" t="s">
        <v>308</v>
      </c>
      <c r="F96" s="204">
        <v>92.92</v>
      </c>
      <c r="H96" s="33"/>
    </row>
    <row r="97" spans="2:8" s="1" customFormat="1" ht="24">
      <c r="B97" s="33"/>
      <c r="C97" s="199" t="s">
        <v>1249</v>
      </c>
      <c r="D97" s="200" t="s">
        <v>1250</v>
      </c>
      <c r="E97" s="201" t="s">
        <v>324</v>
      </c>
      <c r="F97" s="202">
        <v>371.411</v>
      </c>
      <c r="H97" s="33"/>
    </row>
    <row r="98" spans="2:8" s="1" customFormat="1" ht="16.8" customHeight="1">
      <c r="B98" s="33"/>
      <c r="C98" s="203" t="s">
        <v>19</v>
      </c>
      <c r="D98" s="203" t="s">
        <v>1307</v>
      </c>
      <c r="E98" s="18" t="s">
        <v>19</v>
      </c>
      <c r="F98" s="204">
        <v>262.223</v>
      </c>
      <c r="H98" s="33"/>
    </row>
    <row r="99" spans="2:8" s="1" customFormat="1" ht="16.8" customHeight="1">
      <c r="B99" s="33"/>
      <c r="C99" s="203" t="s">
        <v>19</v>
      </c>
      <c r="D99" s="203" t="s">
        <v>1308</v>
      </c>
      <c r="E99" s="18" t="s">
        <v>19</v>
      </c>
      <c r="F99" s="204">
        <v>109.188</v>
      </c>
      <c r="H99" s="33"/>
    </row>
    <row r="100" spans="2:8" s="1" customFormat="1" ht="16.8" customHeight="1">
      <c r="B100" s="33"/>
      <c r="C100" s="203" t="s">
        <v>1249</v>
      </c>
      <c r="D100" s="203" t="s">
        <v>251</v>
      </c>
      <c r="E100" s="18" t="s">
        <v>19</v>
      </c>
      <c r="F100" s="204">
        <v>371.411</v>
      </c>
      <c r="H100" s="33"/>
    </row>
    <row r="101" spans="2:8" s="1" customFormat="1" ht="16.8" customHeight="1">
      <c r="B101" s="33"/>
      <c r="C101" s="205" t="s">
        <v>1794</v>
      </c>
      <c r="H101" s="33"/>
    </row>
    <row r="102" spans="2:8" s="1" customFormat="1" ht="20.4">
      <c r="B102" s="33"/>
      <c r="C102" s="203" t="s">
        <v>1303</v>
      </c>
      <c r="D102" s="203" t="s">
        <v>1250</v>
      </c>
      <c r="E102" s="18" t="s">
        <v>324</v>
      </c>
      <c r="F102" s="204">
        <v>371.411</v>
      </c>
      <c r="H102" s="33"/>
    </row>
    <row r="103" spans="2:8" s="1" customFormat="1" ht="20.4">
      <c r="B103" s="33"/>
      <c r="C103" s="203" t="s">
        <v>361</v>
      </c>
      <c r="D103" s="203" t="s">
        <v>1800</v>
      </c>
      <c r="E103" s="18" t="s">
        <v>324</v>
      </c>
      <c r="F103" s="204">
        <v>664.631</v>
      </c>
      <c r="H103" s="33"/>
    </row>
    <row r="104" spans="2:8" s="1" customFormat="1" ht="16.8" customHeight="1">
      <c r="B104" s="33"/>
      <c r="C104" s="203" t="s">
        <v>398</v>
      </c>
      <c r="D104" s="203" t="s">
        <v>399</v>
      </c>
      <c r="E104" s="18" t="s">
        <v>324</v>
      </c>
      <c r="F104" s="204">
        <v>460.459</v>
      </c>
      <c r="H104" s="33"/>
    </row>
    <row r="105" spans="2:8" s="1" customFormat="1" ht="24">
      <c r="B105" s="33"/>
      <c r="C105" s="199" t="s">
        <v>1246</v>
      </c>
      <c r="D105" s="200" t="s">
        <v>1247</v>
      </c>
      <c r="E105" s="201" t="s">
        <v>324</v>
      </c>
      <c r="F105" s="202">
        <v>273.42</v>
      </c>
      <c r="H105" s="33"/>
    </row>
    <row r="106" spans="2:8" s="1" customFormat="1" ht="16.8" customHeight="1">
      <c r="B106" s="33"/>
      <c r="C106" s="203" t="s">
        <v>19</v>
      </c>
      <c r="D106" s="203" t="s">
        <v>1302</v>
      </c>
      <c r="E106" s="18" t="s">
        <v>19</v>
      </c>
      <c r="F106" s="204">
        <v>273.42</v>
      </c>
      <c r="H106" s="33"/>
    </row>
    <row r="107" spans="2:8" s="1" customFormat="1" ht="16.8" customHeight="1">
      <c r="B107" s="33"/>
      <c r="C107" s="203" t="s">
        <v>1246</v>
      </c>
      <c r="D107" s="203" t="s">
        <v>251</v>
      </c>
      <c r="E107" s="18" t="s">
        <v>19</v>
      </c>
      <c r="F107" s="204">
        <v>273.42</v>
      </c>
      <c r="H107" s="33"/>
    </row>
    <row r="108" spans="2:8" s="1" customFormat="1" ht="16.8" customHeight="1">
      <c r="B108" s="33"/>
      <c r="C108" s="205" t="s">
        <v>1794</v>
      </c>
      <c r="H108" s="33"/>
    </row>
    <row r="109" spans="2:8" s="1" customFormat="1" ht="16.8" customHeight="1">
      <c r="B109" s="33"/>
      <c r="C109" s="203" t="s">
        <v>1298</v>
      </c>
      <c r="D109" s="203" t="s">
        <v>1247</v>
      </c>
      <c r="E109" s="18" t="s">
        <v>324</v>
      </c>
      <c r="F109" s="204">
        <v>273.42</v>
      </c>
      <c r="H109" s="33"/>
    </row>
    <row r="110" spans="2:8" s="1" customFormat="1" ht="20.4">
      <c r="B110" s="33"/>
      <c r="C110" s="203" t="s">
        <v>361</v>
      </c>
      <c r="D110" s="203" t="s">
        <v>1800</v>
      </c>
      <c r="E110" s="18" t="s">
        <v>324</v>
      </c>
      <c r="F110" s="204">
        <v>664.631</v>
      </c>
      <c r="H110" s="33"/>
    </row>
    <row r="111" spans="2:8" s="1" customFormat="1" ht="16.8" customHeight="1">
      <c r="B111" s="33"/>
      <c r="C111" s="203" t="s">
        <v>398</v>
      </c>
      <c r="D111" s="203" t="s">
        <v>399</v>
      </c>
      <c r="E111" s="18" t="s">
        <v>324</v>
      </c>
      <c r="F111" s="204">
        <v>460.459</v>
      </c>
      <c r="H111" s="33"/>
    </row>
    <row r="112" spans="2:8" s="1" customFormat="1" ht="16.8" customHeight="1">
      <c r="B112" s="33"/>
      <c r="C112" s="199" t="s">
        <v>1271</v>
      </c>
      <c r="D112" s="200" t="s">
        <v>399</v>
      </c>
      <c r="E112" s="201" t="s">
        <v>324</v>
      </c>
      <c r="F112" s="202">
        <v>523.819</v>
      </c>
      <c r="H112" s="33"/>
    </row>
    <row r="113" spans="2:8" s="1" customFormat="1" ht="16.8" customHeight="1">
      <c r="B113" s="33"/>
      <c r="C113" s="205" t="s">
        <v>1794</v>
      </c>
      <c r="H113" s="33"/>
    </row>
    <row r="114" spans="2:8" s="1" customFormat="1" ht="16.8" customHeight="1">
      <c r="B114" s="33"/>
      <c r="C114" s="203" t="s">
        <v>1357</v>
      </c>
      <c r="D114" s="203" t="s">
        <v>1358</v>
      </c>
      <c r="E114" s="18" t="s">
        <v>413</v>
      </c>
      <c r="F114" s="204">
        <v>942.874</v>
      </c>
      <c r="H114" s="33"/>
    </row>
    <row r="115" spans="2:8" s="1" customFormat="1" ht="16.8" customHeight="1">
      <c r="B115" s="33"/>
      <c r="C115" s="199" t="s">
        <v>1285</v>
      </c>
      <c r="D115" s="200" t="s">
        <v>1286</v>
      </c>
      <c r="E115" s="201" t="s">
        <v>308</v>
      </c>
      <c r="F115" s="202">
        <v>27.5</v>
      </c>
      <c r="H115" s="33"/>
    </row>
    <row r="116" spans="2:8" s="1" customFormat="1" ht="16.8" customHeight="1">
      <c r="B116" s="33"/>
      <c r="C116" s="203" t="s">
        <v>1285</v>
      </c>
      <c r="D116" s="203" t="s">
        <v>1483</v>
      </c>
      <c r="E116" s="18" t="s">
        <v>19</v>
      </c>
      <c r="F116" s="204">
        <v>27.5</v>
      </c>
      <c r="H116" s="33"/>
    </row>
    <row r="117" spans="2:8" s="1" customFormat="1" ht="16.8" customHeight="1">
      <c r="B117" s="33"/>
      <c r="C117" s="205" t="s">
        <v>1794</v>
      </c>
      <c r="H117" s="33"/>
    </row>
    <row r="118" spans="2:8" s="1" customFormat="1" ht="20.4">
      <c r="B118" s="33"/>
      <c r="C118" s="203" t="s">
        <v>1479</v>
      </c>
      <c r="D118" s="203" t="s">
        <v>1808</v>
      </c>
      <c r="E118" s="18" t="s">
        <v>308</v>
      </c>
      <c r="F118" s="204">
        <v>27.5</v>
      </c>
      <c r="H118" s="33"/>
    </row>
    <row r="119" spans="2:8" s="1" customFormat="1" ht="16.8" customHeight="1">
      <c r="B119" s="33"/>
      <c r="C119" s="203" t="s">
        <v>1522</v>
      </c>
      <c r="D119" s="203" t="s">
        <v>1796</v>
      </c>
      <c r="E119" s="18" t="s">
        <v>308</v>
      </c>
      <c r="F119" s="204">
        <v>163.5</v>
      </c>
      <c r="H119" s="33"/>
    </row>
    <row r="120" spans="2:8" s="1" customFormat="1" ht="16.8" customHeight="1">
      <c r="B120" s="33"/>
      <c r="C120" s="199" t="s">
        <v>1273</v>
      </c>
      <c r="D120" s="200" t="s">
        <v>1274</v>
      </c>
      <c r="E120" s="201" t="s">
        <v>246</v>
      </c>
      <c r="F120" s="202">
        <v>96</v>
      </c>
      <c r="H120" s="33"/>
    </row>
    <row r="121" spans="2:8" s="1" customFormat="1" ht="16.8" customHeight="1">
      <c r="B121" s="33"/>
      <c r="C121" s="203" t="s">
        <v>1273</v>
      </c>
      <c r="D121" s="203" t="s">
        <v>1387</v>
      </c>
      <c r="E121" s="18" t="s">
        <v>19</v>
      </c>
      <c r="F121" s="204">
        <v>96</v>
      </c>
      <c r="H121" s="33"/>
    </row>
    <row r="122" spans="2:8" s="1" customFormat="1" ht="16.8" customHeight="1">
      <c r="B122" s="33"/>
      <c r="C122" s="205" t="s">
        <v>1794</v>
      </c>
      <c r="H122" s="33"/>
    </row>
    <row r="123" spans="2:8" s="1" customFormat="1" ht="16.8" customHeight="1">
      <c r="B123" s="33"/>
      <c r="C123" s="203" t="s">
        <v>1383</v>
      </c>
      <c r="D123" s="203" t="s">
        <v>1809</v>
      </c>
      <c r="E123" s="18" t="s">
        <v>246</v>
      </c>
      <c r="F123" s="204">
        <v>288</v>
      </c>
      <c r="H123" s="33"/>
    </row>
    <row r="124" spans="2:8" s="1" customFormat="1" ht="16.8" customHeight="1">
      <c r="B124" s="33"/>
      <c r="C124" s="203" t="s">
        <v>1389</v>
      </c>
      <c r="D124" s="203" t="s">
        <v>1390</v>
      </c>
      <c r="E124" s="18" t="s">
        <v>246</v>
      </c>
      <c r="F124" s="204">
        <v>113.712</v>
      </c>
      <c r="H124" s="33"/>
    </row>
    <row r="125" spans="2:8" s="1" customFormat="1" ht="16.8" customHeight="1">
      <c r="B125" s="33"/>
      <c r="C125" s="199" t="s">
        <v>1275</v>
      </c>
      <c r="D125" s="200" t="s">
        <v>1276</v>
      </c>
      <c r="E125" s="201" t="s">
        <v>19</v>
      </c>
      <c r="F125" s="202">
        <v>192</v>
      </c>
      <c r="H125" s="33"/>
    </row>
    <row r="126" spans="2:8" s="1" customFormat="1" ht="16.8" customHeight="1">
      <c r="B126" s="33"/>
      <c r="C126" s="203" t="s">
        <v>1275</v>
      </c>
      <c r="D126" s="203" t="s">
        <v>1388</v>
      </c>
      <c r="E126" s="18" t="s">
        <v>19</v>
      </c>
      <c r="F126" s="204">
        <v>192</v>
      </c>
      <c r="H126" s="33"/>
    </row>
    <row r="127" spans="2:8" s="1" customFormat="1" ht="16.8" customHeight="1">
      <c r="B127" s="33"/>
      <c r="C127" s="205" t="s">
        <v>1794</v>
      </c>
      <c r="H127" s="33"/>
    </row>
    <row r="128" spans="2:8" s="1" customFormat="1" ht="16.8" customHeight="1">
      <c r="B128" s="33"/>
      <c r="C128" s="203" t="s">
        <v>1383</v>
      </c>
      <c r="D128" s="203" t="s">
        <v>1809</v>
      </c>
      <c r="E128" s="18" t="s">
        <v>246</v>
      </c>
      <c r="F128" s="204">
        <v>288</v>
      </c>
      <c r="H128" s="33"/>
    </row>
    <row r="129" spans="2:8" s="1" customFormat="1" ht="16.8" customHeight="1">
      <c r="B129" s="33"/>
      <c r="C129" s="203" t="s">
        <v>1393</v>
      </c>
      <c r="D129" s="203" t="s">
        <v>1394</v>
      </c>
      <c r="E129" s="18" t="s">
        <v>246</v>
      </c>
      <c r="F129" s="204">
        <v>227.424</v>
      </c>
      <c r="H129" s="33"/>
    </row>
    <row r="130" spans="2:8" s="1" customFormat="1" ht="16.8" customHeight="1">
      <c r="B130" s="33"/>
      <c r="C130" s="199" t="s">
        <v>1278</v>
      </c>
      <c r="D130" s="200" t="s">
        <v>1279</v>
      </c>
      <c r="E130" s="201" t="s">
        <v>1280</v>
      </c>
      <c r="F130" s="202">
        <v>105</v>
      </c>
      <c r="H130" s="33"/>
    </row>
    <row r="131" spans="2:8" s="1" customFormat="1" ht="16.8" customHeight="1">
      <c r="B131" s="33"/>
      <c r="C131" s="203" t="s">
        <v>1278</v>
      </c>
      <c r="D131" s="203" t="s">
        <v>848</v>
      </c>
      <c r="E131" s="18" t="s">
        <v>19</v>
      </c>
      <c r="F131" s="204">
        <v>105</v>
      </c>
      <c r="H131" s="33"/>
    </row>
    <row r="132" spans="2:8" s="1" customFormat="1" ht="16.8" customHeight="1">
      <c r="B132" s="33"/>
      <c r="C132" s="205" t="s">
        <v>1794</v>
      </c>
      <c r="H132" s="33"/>
    </row>
    <row r="133" spans="2:8" s="1" customFormat="1" ht="16.8" customHeight="1">
      <c r="B133" s="33"/>
      <c r="C133" s="203" t="s">
        <v>1412</v>
      </c>
      <c r="D133" s="203" t="s">
        <v>1279</v>
      </c>
      <c r="E133" s="18" t="s">
        <v>467</v>
      </c>
      <c r="F133" s="204">
        <v>105</v>
      </c>
      <c r="H133" s="33"/>
    </row>
    <row r="134" spans="2:8" s="1" customFormat="1" ht="16.8" customHeight="1">
      <c r="B134" s="33"/>
      <c r="C134" s="203" t="s">
        <v>776</v>
      </c>
      <c r="D134" s="203" t="s">
        <v>777</v>
      </c>
      <c r="E134" s="18" t="s">
        <v>308</v>
      </c>
      <c r="F134" s="204">
        <v>105</v>
      </c>
      <c r="H134" s="33"/>
    </row>
    <row r="135" spans="2:8" s="1" customFormat="1" ht="7.35" customHeight="1">
      <c r="B135" s="42"/>
      <c r="C135" s="43"/>
      <c r="D135" s="43"/>
      <c r="E135" s="43"/>
      <c r="F135" s="43"/>
      <c r="G135" s="43"/>
      <c r="H135" s="33"/>
    </row>
    <row r="136" s="1" customFormat="1" ht="12"/>
  </sheetData>
  <sheetProtection algorithmName="SHA-512" hashValue="0D4Dc6JUfJOdke/Fo8cXKwX93s3A0uICi0/zReIWyxW5MrnG/Nht0zCa96m32jdlOoLnnIaRE02kKsPEEOgYqA==" saltValue="9yH7wps51K0KxejV9FD6WPHtbGDs2Ls6Ahu/w2VPBOLkGbWnP0npfU/1heShVPBoAxQtCQJUcuzJalBCeu1z1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6" customWidth="1"/>
    <col min="2" max="2" width="1.7109375" style="206" customWidth="1"/>
    <col min="3" max="4" width="5.00390625" style="206" customWidth="1"/>
    <col min="5" max="5" width="11.7109375" style="206" customWidth="1"/>
    <col min="6" max="6" width="9.140625" style="206" customWidth="1"/>
    <col min="7" max="7" width="5.00390625" style="206" customWidth="1"/>
    <col min="8" max="8" width="77.8515625" style="206" customWidth="1"/>
    <col min="9" max="10" width="20.00390625" style="206" customWidth="1"/>
    <col min="11" max="11" width="1.7109375" style="206" customWidth="1"/>
  </cols>
  <sheetData>
    <row r="1" ht="37.6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6" customFormat="1" ht="45.15" customHeight="1">
      <c r="B3" s="210"/>
      <c r="C3" s="564" t="s">
        <v>1810</v>
      </c>
      <c r="D3" s="564"/>
      <c r="E3" s="564"/>
      <c r="F3" s="564"/>
      <c r="G3" s="564"/>
      <c r="H3" s="564"/>
      <c r="I3" s="564"/>
      <c r="J3" s="564"/>
      <c r="K3" s="211"/>
    </row>
    <row r="4" spans="2:11" ht="25.5" customHeight="1">
      <c r="B4" s="212"/>
      <c r="C4" s="569" t="s">
        <v>1811</v>
      </c>
      <c r="D4" s="569"/>
      <c r="E4" s="569"/>
      <c r="F4" s="569"/>
      <c r="G4" s="569"/>
      <c r="H4" s="569"/>
      <c r="I4" s="569"/>
      <c r="J4" s="569"/>
      <c r="K4" s="213"/>
    </row>
    <row r="5" spans="2:11" ht="5.4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568" t="s">
        <v>1812</v>
      </c>
      <c r="D6" s="568"/>
      <c r="E6" s="568"/>
      <c r="F6" s="568"/>
      <c r="G6" s="568"/>
      <c r="H6" s="568"/>
      <c r="I6" s="568"/>
      <c r="J6" s="568"/>
      <c r="K6" s="213"/>
    </row>
    <row r="7" spans="2:11" ht="15" customHeight="1">
      <c r="B7" s="216"/>
      <c r="C7" s="568" t="s">
        <v>1813</v>
      </c>
      <c r="D7" s="568"/>
      <c r="E7" s="568"/>
      <c r="F7" s="568"/>
      <c r="G7" s="568"/>
      <c r="H7" s="568"/>
      <c r="I7" s="568"/>
      <c r="J7" s="568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568" t="s">
        <v>1814</v>
      </c>
      <c r="D9" s="568"/>
      <c r="E9" s="568"/>
      <c r="F9" s="568"/>
      <c r="G9" s="568"/>
      <c r="H9" s="568"/>
      <c r="I9" s="568"/>
      <c r="J9" s="568"/>
      <c r="K9" s="213"/>
    </row>
    <row r="10" spans="2:11" ht="15" customHeight="1">
      <c r="B10" s="216"/>
      <c r="C10" s="215"/>
      <c r="D10" s="568" t="s">
        <v>1815</v>
      </c>
      <c r="E10" s="568"/>
      <c r="F10" s="568"/>
      <c r="G10" s="568"/>
      <c r="H10" s="568"/>
      <c r="I10" s="568"/>
      <c r="J10" s="568"/>
      <c r="K10" s="213"/>
    </row>
    <row r="11" spans="2:11" ht="15" customHeight="1">
      <c r="B11" s="216"/>
      <c r="C11" s="217"/>
      <c r="D11" s="568" t="s">
        <v>1816</v>
      </c>
      <c r="E11" s="568"/>
      <c r="F11" s="568"/>
      <c r="G11" s="568"/>
      <c r="H11" s="568"/>
      <c r="I11" s="568"/>
      <c r="J11" s="568"/>
      <c r="K11" s="213"/>
    </row>
    <row r="12" spans="2:1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ht="15" customHeight="1">
      <c r="B13" s="216"/>
      <c r="C13" s="217"/>
      <c r="D13" s="218" t="s">
        <v>1817</v>
      </c>
      <c r="E13" s="215"/>
      <c r="F13" s="215"/>
      <c r="G13" s="215"/>
      <c r="H13" s="215"/>
      <c r="I13" s="215"/>
      <c r="J13" s="215"/>
      <c r="K13" s="213"/>
    </row>
    <row r="14" spans="2:1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ht="15" customHeight="1">
      <c r="B15" s="216"/>
      <c r="C15" s="217"/>
      <c r="D15" s="568" t="s">
        <v>1818</v>
      </c>
      <c r="E15" s="568"/>
      <c r="F15" s="568"/>
      <c r="G15" s="568"/>
      <c r="H15" s="568"/>
      <c r="I15" s="568"/>
      <c r="J15" s="568"/>
      <c r="K15" s="213"/>
    </row>
    <row r="16" spans="2:11" ht="15" customHeight="1">
      <c r="B16" s="216"/>
      <c r="C16" s="217"/>
      <c r="D16" s="568" t="s">
        <v>1819</v>
      </c>
      <c r="E16" s="568"/>
      <c r="F16" s="568"/>
      <c r="G16" s="568"/>
      <c r="H16" s="568"/>
      <c r="I16" s="568"/>
      <c r="J16" s="568"/>
      <c r="K16" s="213"/>
    </row>
    <row r="17" spans="2:11" ht="15" customHeight="1">
      <c r="B17" s="216"/>
      <c r="C17" s="217"/>
      <c r="D17" s="568" t="s">
        <v>1820</v>
      </c>
      <c r="E17" s="568"/>
      <c r="F17" s="568"/>
      <c r="G17" s="568"/>
      <c r="H17" s="568"/>
      <c r="I17" s="568"/>
      <c r="J17" s="568"/>
      <c r="K17" s="213"/>
    </row>
    <row r="18" spans="2:11" ht="15" customHeight="1">
      <c r="B18" s="216"/>
      <c r="C18" s="217"/>
      <c r="D18" s="217"/>
      <c r="E18" s="219" t="s">
        <v>83</v>
      </c>
      <c r="F18" s="568" t="s">
        <v>1821</v>
      </c>
      <c r="G18" s="568"/>
      <c r="H18" s="568"/>
      <c r="I18" s="568"/>
      <c r="J18" s="568"/>
      <c r="K18" s="213"/>
    </row>
    <row r="19" spans="2:11" ht="15" customHeight="1">
      <c r="B19" s="216"/>
      <c r="C19" s="217"/>
      <c r="D19" s="217"/>
      <c r="E19" s="219" t="s">
        <v>1822</v>
      </c>
      <c r="F19" s="568" t="s">
        <v>1823</v>
      </c>
      <c r="G19" s="568"/>
      <c r="H19" s="568"/>
      <c r="I19" s="568"/>
      <c r="J19" s="568"/>
      <c r="K19" s="213"/>
    </row>
    <row r="20" spans="2:11" ht="15" customHeight="1">
      <c r="B20" s="216"/>
      <c r="C20" s="217"/>
      <c r="D20" s="217"/>
      <c r="E20" s="219" t="s">
        <v>1824</v>
      </c>
      <c r="F20" s="568" t="s">
        <v>1825</v>
      </c>
      <c r="G20" s="568"/>
      <c r="H20" s="568"/>
      <c r="I20" s="568"/>
      <c r="J20" s="568"/>
      <c r="K20" s="213"/>
    </row>
    <row r="21" spans="2:11" ht="15" customHeight="1">
      <c r="B21" s="216"/>
      <c r="C21" s="217"/>
      <c r="D21" s="217"/>
      <c r="E21" s="219" t="s">
        <v>1826</v>
      </c>
      <c r="F21" s="568" t="s">
        <v>1827</v>
      </c>
      <c r="G21" s="568"/>
      <c r="H21" s="568"/>
      <c r="I21" s="568"/>
      <c r="J21" s="568"/>
      <c r="K21" s="213"/>
    </row>
    <row r="22" spans="2:11" ht="15" customHeight="1">
      <c r="B22" s="216"/>
      <c r="C22" s="217"/>
      <c r="D22" s="217"/>
      <c r="E22" s="219" t="s">
        <v>1828</v>
      </c>
      <c r="F22" s="568" t="s">
        <v>1829</v>
      </c>
      <c r="G22" s="568"/>
      <c r="H22" s="568"/>
      <c r="I22" s="568"/>
      <c r="J22" s="568"/>
      <c r="K22" s="213"/>
    </row>
    <row r="23" spans="2:11" ht="15" customHeight="1">
      <c r="B23" s="216"/>
      <c r="C23" s="217"/>
      <c r="D23" s="217"/>
      <c r="E23" s="219" t="s">
        <v>1830</v>
      </c>
      <c r="F23" s="568" t="s">
        <v>1831</v>
      </c>
      <c r="G23" s="568"/>
      <c r="H23" s="568"/>
      <c r="I23" s="568"/>
      <c r="J23" s="568"/>
      <c r="K23" s="213"/>
    </row>
    <row r="24" spans="2:1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ht="15" customHeight="1">
      <c r="B25" s="216"/>
      <c r="C25" s="568" t="s">
        <v>1832</v>
      </c>
      <c r="D25" s="568"/>
      <c r="E25" s="568"/>
      <c r="F25" s="568"/>
      <c r="G25" s="568"/>
      <c r="H25" s="568"/>
      <c r="I25" s="568"/>
      <c r="J25" s="568"/>
      <c r="K25" s="213"/>
    </row>
    <row r="26" spans="2:11" ht="15" customHeight="1">
      <c r="B26" s="216"/>
      <c r="C26" s="568" t="s">
        <v>1833</v>
      </c>
      <c r="D26" s="568"/>
      <c r="E26" s="568"/>
      <c r="F26" s="568"/>
      <c r="G26" s="568"/>
      <c r="H26" s="568"/>
      <c r="I26" s="568"/>
      <c r="J26" s="568"/>
      <c r="K26" s="213"/>
    </row>
    <row r="27" spans="2:11" ht="15" customHeight="1">
      <c r="B27" s="216"/>
      <c r="C27" s="215"/>
      <c r="D27" s="568" t="s">
        <v>1834</v>
      </c>
      <c r="E27" s="568"/>
      <c r="F27" s="568"/>
      <c r="G27" s="568"/>
      <c r="H27" s="568"/>
      <c r="I27" s="568"/>
      <c r="J27" s="568"/>
      <c r="K27" s="213"/>
    </row>
    <row r="28" spans="2:11" ht="15" customHeight="1">
      <c r="B28" s="216"/>
      <c r="C28" s="217"/>
      <c r="D28" s="568" t="s">
        <v>1835</v>
      </c>
      <c r="E28" s="568"/>
      <c r="F28" s="568"/>
      <c r="G28" s="568"/>
      <c r="H28" s="568"/>
      <c r="I28" s="568"/>
      <c r="J28" s="568"/>
      <c r="K28" s="213"/>
    </row>
    <row r="29" spans="2:1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ht="15" customHeight="1">
      <c r="B30" s="216"/>
      <c r="C30" s="217"/>
      <c r="D30" s="568" t="s">
        <v>1836</v>
      </c>
      <c r="E30" s="568"/>
      <c r="F30" s="568"/>
      <c r="G30" s="568"/>
      <c r="H30" s="568"/>
      <c r="I30" s="568"/>
      <c r="J30" s="568"/>
      <c r="K30" s="213"/>
    </row>
    <row r="31" spans="2:11" ht="15" customHeight="1">
      <c r="B31" s="216"/>
      <c r="C31" s="217"/>
      <c r="D31" s="568" t="s">
        <v>1837</v>
      </c>
      <c r="E31" s="568"/>
      <c r="F31" s="568"/>
      <c r="G31" s="568"/>
      <c r="H31" s="568"/>
      <c r="I31" s="568"/>
      <c r="J31" s="568"/>
      <c r="K31" s="213"/>
    </row>
    <row r="32" spans="2:1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ht="15" customHeight="1">
      <c r="B33" s="216"/>
      <c r="C33" s="217"/>
      <c r="D33" s="568" t="s">
        <v>1838</v>
      </c>
      <c r="E33" s="568"/>
      <c r="F33" s="568"/>
      <c r="G33" s="568"/>
      <c r="H33" s="568"/>
      <c r="I33" s="568"/>
      <c r="J33" s="568"/>
      <c r="K33" s="213"/>
    </row>
    <row r="34" spans="2:11" ht="15" customHeight="1">
      <c r="B34" s="216"/>
      <c r="C34" s="217"/>
      <c r="D34" s="568" t="s">
        <v>1839</v>
      </c>
      <c r="E34" s="568"/>
      <c r="F34" s="568"/>
      <c r="G34" s="568"/>
      <c r="H34" s="568"/>
      <c r="I34" s="568"/>
      <c r="J34" s="568"/>
      <c r="K34" s="213"/>
    </row>
    <row r="35" spans="2:11" ht="15" customHeight="1">
      <c r="B35" s="216"/>
      <c r="C35" s="217"/>
      <c r="D35" s="568" t="s">
        <v>1840</v>
      </c>
      <c r="E35" s="568"/>
      <c r="F35" s="568"/>
      <c r="G35" s="568"/>
      <c r="H35" s="568"/>
      <c r="I35" s="568"/>
      <c r="J35" s="568"/>
      <c r="K35" s="213"/>
    </row>
    <row r="36" spans="2:11" ht="15" customHeight="1">
      <c r="B36" s="216"/>
      <c r="C36" s="217"/>
      <c r="D36" s="215"/>
      <c r="E36" s="218" t="s">
        <v>130</v>
      </c>
      <c r="F36" s="215"/>
      <c r="G36" s="568" t="s">
        <v>1841</v>
      </c>
      <c r="H36" s="568"/>
      <c r="I36" s="568"/>
      <c r="J36" s="568"/>
      <c r="K36" s="213"/>
    </row>
    <row r="37" spans="2:11" ht="30.75" customHeight="1">
      <c r="B37" s="216"/>
      <c r="C37" s="217"/>
      <c r="D37" s="215"/>
      <c r="E37" s="218" t="s">
        <v>1842</v>
      </c>
      <c r="F37" s="215"/>
      <c r="G37" s="568" t="s">
        <v>1843</v>
      </c>
      <c r="H37" s="568"/>
      <c r="I37" s="568"/>
      <c r="J37" s="568"/>
      <c r="K37" s="213"/>
    </row>
    <row r="38" spans="2:11" ht="15" customHeight="1">
      <c r="B38" s="216"/>
      <c r="C38" s="217"/>
      <c r="D38" s="215"/>
      <c r="E38" s="218" t="s">
        <v>57</v>
      </c>
      <c r="F38" s="215"/>
      <c r="G38" s="568" t="s">
        <v>1844</v>
      </c>
      <c r="H38" s="568"/>
      <c r="I38" s="568"/>
      <c r="J38" s="568"/>
      <c r="K38" s="213"/>
    </row>
    <row r="39" spans="2:11" ht="15" customHeight="1">
      <c r="B39" s="216"/>
      <c r="C39" s="217"/>
      <c r="D39" s="215"/>
      <c r="E39" s="218" t="s">
        <v>58</v>
      </c>
      <c r="F39" s="215"/>
      <c r="G39" s="568" t="s">
        <v>1845</v>
      </c>
      <c r="H39" s="568"/>
      <c r="I39" s="568"/>
      <c r="J39" s="568"/>
      <c r="K39" s="213"/>
    </row>
    <row r="40" spans="2:11" ht="15" customHeight="1">
      <c r="B40" s="216"/>
      <c r="C40" s="217"/>
      <c r="D40" s="215"/>
      <c r="E40" s="218" t="s">
        <v>131</v>
      </c>
      <c r="F40" s="215"/>
      <c r="G40" s="568" t="s">
        <v>1846</v>
      </c>
      <c r="H40" s="568"/>
      <c r="I40" s="568"/>
      <c r="J40" s="568"/>
      <c r="K40" s="213"/>
    </row>
    <row r="41" spans="2:11" ht="15" customHeight="1">
      <c r="B41" s="216"/>
      <c r="C41" s="217"/>
      <c r="D41" s="215"/>
      <c r="E41" s="218" t="s">
        <v>132</v>
      </c>
      <c r="F41" s="215"/>
      <c r="G41" s="568" t="s">
        <v>1847</v>
      </c>
      <c r="H41" s="568"/>
      <c r="I41" s="568"/>
      <c r="J41" s="568"/>
      <c r="K41" s="213"/>
    </row>
    <row r="42" spans="2:11" ht="15" customHeight="1">
      <c r="B42" s="216"/>
      <c r="C42" s="217"/>
      <c r="D42" s="215"/>
      <c r="E42" s="218" t="s">
        <v>1848</v>
      </c>
      <c r="F42" s="215"/>
      <c r="G42" s="568" t="s">
        <v>1849</v>
      </c>
      <c r="H42" s="568"/>
      <c r="I42" s="568"/>
      <c r="J42" s="568"/>
      <c r="K42" s="213"/>
    </row>
    <row r="43" spans="2:11" ht="15" customHeight="1">
      <c r="B43" s="216"/>
      <c r="C43" s="217"/>
      <c r="D43" s="215"/>
      <c r="E43" s="218"/>
      <c r="F43" s="215"/>
      <c r="G43" s="568" t="s">
        <v>1850</v>
      </c>
      <c r="H43" s="568"/>
      <c r="I43" s="568"/>
      <c r="J43" s="568"/>
      <c r="K43" s="213"/>
    </row>
    <row r="44" spans="2:11" ht="15" customHeight="1">
      <c r="B44" s="216"/>
      <c r="C44" s="217"/>
      <c r="D44" s="215"/>
      <c r="E44" s="218" t="s">
        <v>1851</v>
      </c>
      <c r="F44" s="215"/>
      <c r="G44" s="568" t="s">
        <v>1852</v>
      </c>
      <c r="H44" s="568"/>
      <c r="I44" s="568"/>
      <c r="J44" s="568"/>
      <c r="K44" s="213"/>
    </row>
    <row r="45" spans="2:11" ht="15" customHeight="1">
      <c r="B45" s="216"/>
      <c r="C45" s="217"/>
      <c r="D45" s="215"/>
      <c r="E45" s="218" t="s">
        <v>134</v>
      </c>
      <c r="F45" s="215"/>
      <c r="G45" s="568" t="s">
        <v>1853</v>
      </c>
      <c r="H45" s="568"/>
      <c r="I45" s="568"/>
      <c r="J45" s="568"/>
      <c r="K45" s="213"/>
    </row>
    <row r="46" spans="2:1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ht="15" customHeight="1">
      <c r="B47" s="216"/>
      <c r="C47" s="217"/>
      <c r="D47" s="568" t="s">
        <v>1854</v>
      </c>
      <c r="E47" s="568"/>
      <c r="F47" s="568"/>
      <c r="G47" s="568"/>
      <c r="H47" s="568"/>
      <c r="I47" s="568"/>
      <c r="J47" s="568"/>
      <c r="K47" s="213"/>
    </row>
    <row r="48" spans="2:11" ht="15" customHeight="1">
      <c r="B48" s="216"/>
      <c r="C48" s="217"/>
      <c r="D48" s="217"/>
      <c r="E48" s="568" t="s">
        <v>1855</v>
      </c>
      <c r="F48" s="568"/>
      <c r="G48" s="568"/>
      <c r="H48" s="568"/>
      <c r="I48" s="568"/>
      <c r="J48" s="568"/>
      <c r="K48" s="213"/>
    </row>
    <row r="49" spans="2:11" ht="15" customHeight="1">
      <c r="B49" s="216"/>
      <c r="C49" s="217"/>
      <c r="D49" s="217"/>
      <c r="E49" s="568" t="s">
        <v>1856</v>
      </c>
      <c r="F49" s="568"/>
      <c r="G49" s="568"/>
      <c r="H49" s="568"/>
      <c r="I49" s="568"/>
      <c r="J49" s="568"/>
      <c r="K49" s="213"/>
    </row>
    <row r="50" spans="2:11" ht="15" customHeight="1">
      <c r="B50" s="216"/>
      <c r="C50" s="217"/>
      <c r="D50" s="217"/>
      <c r="E50" s="568" t="s">
        <v>1857</v>
      </c>
      <c r="F50" s="568"/>
      <c r="G50" s="568"/>
      <c r="H50" s="568"/>
      <c r="I50" s="568"/>
      <c r="J50" s="568"/>
      <c r="K50" s="213"/>
    </row>
    <row r="51" spans="2:11" ht="15" customHeight="1">
      <c r="B51" s="216"/>
      <c r="C51" s="217"/>
      <c r="D51" s="568" t="s">
        <v>1858</v>
      </c>
      <c r="E51" s="568"/>
      <c r="F51" s="568"/>
      <c r="G51" s="568"/>
      <c r="H51" s="568"/>
      <c r="I51" s="568"/>
      <c r="J51" s="568"/>
      <c r="K51" s="213"/>
    </row>
    <row r="52" spans="2:11" ht="25.5" customHeight="1">
      <c r="B52" s="212"/>
      <c r="C52" s="569" t="s">
        <v>1859</v>
      </c>
      <c r="D52" s="569"/>
      <c r="E52" s="569"/>
      <c r="F52" s="569"/>
      <c r="G52" s="569"/>
      <c r="H52" s="569"/>
      <c r="I52" s="569"/>
      <c r="J52" s="569"/>
      <c r="K52" s="213"/>
    </row>
    <row r="53" spans="2:11" ht="5.4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ht="15" customHeight="1">
      <c r="B54" s="212"/>
      <c r="C54" s="568" t="s">
        <v>1860</v>
      </c>
      <c r="D54" s="568"/>
      <c r="E54" s="568"/>
      <c r="F54" s="568"/>
      <c r="G54" s="568"/>
      <c r="H54" s="568"/>
      <c r="I54" s="568"/>
      <c r="J54" s="568"/>
      <c r="K54" s="213"/>
    </row>
    <row r="55" spans="2:11" ht="15" customHeight="1">
      <c r="B55" s="212"/>
      <c r="C55" s="568" t="s">
        <v>1861</v>
      </c>
      <c r="D55" s="568"/>
      <c r="E55" s="568"/>
      <c r="F55" s="568"/>
      <c r="G55" s="568"/>
      <c r="H55" s="568"/>
      <c r="I55" s="568"/>
      <c r="J55" s="568"/>
      <c r="K55" s="213"/>
    </row>
    <row r="56" spans="2:1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ht="15" customHeight="1">
      <c r="B57" s="212"/>
      <c r="C57" s="568" t="s">
        <v>1862</v>
      </c>
      <c r="D57" s="568"/>
      <c r="E57" s="568"/>
      <c r="F57" s="568"/>
      <c r="G57" s="568"/>
      <c r="H57" s="568"/>
      <c r="I57" s="568"/>
      <c r="J57" s="568"/>
      <c r="K57" s="213"/>
    </row>
    <row r="58" spans="2:11" ht="15" customHeight="1">
      <c r="B58" s="212"/>
      <c r="C58" s="217"/>
      <c r="D58" s="568" t="s">
        <v>1863</v>
      </c>
      <c r="E58" s="568"/>
      <c r="F58" s="568"/>
      <c r="G58" s="568"/>
      <c r="H58" s="568"/>
      <c r="I58" s="568"/>
      <c r="J58" s="568"/>
      <c r="K58" s="213"/>
    </row>
    <row r="59" spans="2:11" ht="15" customHeight="1">
      <c r="B59" s="212"/>
      <c r="C59" s="217"/>
      <c r="D59" s="568" t="s">
        <v>1864</v>
      </c>
      <c r="E59" s="568"/>
      <c r="F59" s="568"/>
      <c r="G59" s="568"/>
      <c r="H59" s="568"/>
      <c r="I59" s="568"/>
      <c r="J59" s="568"/>
      <c r="K59" s="213"/>
    </row>
    <row r="60" spans="2:11" ht="15" customHeight="1">
      <c r="B60" s="212"/>
      <c r="C60" s="217"/>
      <c r="D60" s="568" t="s">
        <v>1865</v>
      </c>
      <c r="E60" s="568"/>
      <c r="F60" s="568"/>
      <c r="G60" s="568"/>
      <c r="H60" s="568"/>
      <c r="I60" s="568"/>
      <c r="J60" s="568"/>
      <c r="K60" s="213"/>
    </row>
    <row r="61" spans="2:11" ht="15" customHeight="1">
      <c r="B61" s="212"/>
      <c r="C61" s="217"/>
      <c r="D61" s="568" t="s">
        <v>1866</v>
      </c>
      <c r="E61" s="568"/>
      <c r="F61" s="568"/>
      <c r="G61" s="568"/>
      <c r="H61" s="568"/>
      <c r="I61" s="568"/>
      <c r="J61" s="568"/>
      <c r="K61" s="213"/>
    </row>
    <row r="62" spans="2:11" ht="15" customHeight="1">
      <c r="B62" s="212"/>
      <c r="C62" s="217"/>
      <c r="D62" s="570" t="s">
        <v>1867</v>
      </c>
      <c r="E62" s="570"/>
      <c r="F62" s="570"/>
      <c r="G62" s="570"/>
      <c r="H62" s="570"/>
      <c r="I62" s="570"/>
      <c r="J62" s="570"/>
      <c r="K62" s="213"/>
    </row>
    <row r="63" spans="2:11" ht="15" customHeight="1">
      <c r="B63" s="212"/>
      <c r="C63" s="217"/>
      <c r="D63" s="568" t="s">
        <v>1868</v>
      </c>
      <c r="E63" s="568"/>
      <c r="F63" s="568"/>
      <c r="G63" s="568"/>
      <c r="H63" s="568"/>
      <c r="I63" s="568"/>
      <c r="J63" s="568"/>
      <c r="K63" s="213"/>
    </row>
    <row r="64" spans="2:1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ht="15" customHeight="1">
      <c r="B65" s="212"/>
      <c r="C65" s="217"/>
      <c r="D65" s="568" t="s">
        <v>1869</v>
      </c>
      <c r="E65" s="568"/>
      <c r="F65" s="568"/>
      <c r="G65" s="568"/>
      <c r="H65" s="568"/>
      <c r="I65" s="568"/>
      <c r="J65" s="568"/>
      <c r="K65" s="213"/>
    </row>
    <row r="66" spans="2:11" ht="15" customHeight="1">
      <c r="B66" s="212"/>
      <c r="C66" s="217"/>
      <c r="D66" s="570" t="s">
        <v>1870</v>
      </c>
      <c r="E66" s="570"/>
      <c r="F66" s="570"/>
      <c r="G66" s="570"/>
      <c r="H66" s="570"/>
      <c r="I66" s="570"/>
      <c r="J66" s="570"/>
      <c r="K66" s="213"/>
    </row>
    <row r="67" spans="2:11" ht="15" customHeight="1">
      <c r="B67" s="212"/>
      <c r="C67" s="217"/>
      <c r="D67" s="568" t="s">
        <v>1871</v>
      </c>
      <c r="E67" s="568"/>
      <c r="F67" s="568"/>
      <c r="G67" s="568"/>
      <c r="H67" s="568"/>
      <c r="I67" s="568"/>
      <c r="J67" s="568"/>
      <c r="K67" s="213"/>
    </row>
    <row r="68" spans="2:11" ht="15" customHeight="1">
      <c r="B68" s="212"/>
      <c r="C68" s="217"/>
      <c r="D68" s="568" t="s">
        <v>1872</v>
      </c>
      <c r="E68" s="568"/>
      <c r="F68" s="568"/>
      <c r="G68" s="568"/>
      <c r="H68" s="568"/>
      <c r="I68" s="568"/>
      <c r="J68" s="568"/>
      <c r="K68" s="213"/>
    </row>
    <row r="69" spans="2:11" ht="15" customHeight="1">
      <c r="B69" s="212"/>
      <c r="C69" s="217"/>
      <c r="D69" s="568" t="s">
        <v>1873</v>
      </c>
      <c r="E69" s="568"/>
      <c r="F69" s="568"/>
      <c r="G69" s="568"/>
      <c r="H69" s="568"/>
      <c r="I69" s="568"/>
      <c r="J69" s="568"/>
      <c r="K69" s="213"/>
    </row>
    <row r="70" spans="2:11" ht="15" customHeight="1">
      <c r="B70" s="212"/>
      <c r="C70" s="217"/>
      <c r="D70" s="568" t="s">
        <v>1874</v>
      </c>
      <c r="E70" s="568"/>
      <c r="F70" s="568"/>
      <c r="G70" s="568"/>
      <c r="H70" s="568"/>
      <c r="I70" s="568"/>
      <c r="J70" s="568"/>
      <c r="K70" s="213"/>
    </row>
    <row r="71" spans="2:1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ht="45.15" customHeight="1">
      <c r="B75" s="229"/>
      <c r="C75" s="563" t="s">
        <v>1875</v>
      </c>
      <c r="D75" s="563"/>
      <c r="E75" s="563"/>
      <c r="F75" s="563"/>
      <c r="G75" s="563"/>
      <c r="H75" s="563"/>
      <c r="I75" s="563"/>
      <c r="J75" s="563"/>
      <c r="K75" s="230"/>
    </row>
    <row r="76" spans="2:11" ht="17.25" customHeight="1">
      <c r="B76" s="229"/>
      <c r="C76" s="231" t="s">
        <v>1876</v>
      </c>
      <c r="D76" s="231"/>
      <c r="E76" s="231"/>
      <c r="F76" s="231" t="s">
        <v>1877</v>
      </c>
      <c r="G76" s="232"/>
      <c r="H76" s="231" t="s">
        <v>58</v>
      </c>
      <c r="I76" s="231" t="s">
        <v>61</v>
      </c>
      <c r="J76" s="231" t="s">
        <v>1878</v>
      </c>
      <c r="K76" s="230"/>
    </row>
    <row r="77" spans="2:11" ht="17.25" customHeight="1">
      <c r="B77" s="229"/>
      <c r="C77" s="233" t="s">
        <v>1879</v>
      </c>
      <c r="D77" s="233"/>
      <c r="E77" s="233"/>
      <c r="F77" s="234" t="s">
        <v>1880</v>
      </c>
      <c r="G77" s="235"/>
      <c r="H77" s="233"/>
      <c r="I77" s="233"/>
      <c r="J77" s="233" t="s">
        <v>1881</v>
      </c>
      <c r="K77" s="230"/>
    </row>
    <row r="78" spans="2:11" ht="5.4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ht="15" customHeight="1">
      <c r="B79" s="229"/>
      <c r="C79" s="218" t="s">
        <v>57</v>
      </c>
      <c r="D79" s="238"/>
      <c r="E79" s="238"/>
      <c r="F79" s="239" t="s">
        <v>1882</v>
      </c>
      <c r="G79" s="240"/>
      <c r="H79" s="218" t="s">
        <v>1883</v>
      </c>
      <c r="I79" s="218" t="s">
        <v>1884</v>
      </c>
      <c r="J79" s="218">
        <v>20</v>
      </c>
      <c r="K79" s="230"/>
    </row>
    <row r="80" spans="2:11" ht="15" customHeight="1">
      <c r="B80" s="229"/>
      <c r="C80" s="218" t="s">
        <v>1885</v>
      </c>
      <c r="D80" s="218"/>
      <c r="E80" s="218"/>
      <c r="F80" s="239" t="s">
        <v>1882</v>
      </c>
      <c r="G80" s="240"/>
      <c r="H80" s="218" t="s">
        <v>1886</v>
      </c>
      <c r="I80" s="218" t="s">
        <v>1884</v>
      </c>
      <c r="J80" s="218">
        <v>120</v>
      </c>
      <c r="K80" s="230"/>
    </row>
    <row r="81" spans="2:11" ht="15" customHeight="1">
      <c r="B81" s="241"/>
      <c r="C81" s="218" t="s">
        <v>1887</v>
      </c>
      <c r="D81" s="218"/>
      <c r="E81" s="218"/>
      <c r="F81" s="239" t="s">
        <v>1888</v>
      </c>
      <c r="G81" s="240"/>
      <c r="H81" s="218" t="s">
        <v>1889</v>
      </c>
      <c r="I81" s="218" t="s">
        <v>1884</v>
      </c>
      <c r="J81" s="218">
        <v>50</v>
      </c>
      <c r="K81" s="230"/>
    </row>
    <row r="82" spans="2:11" ht="15" customHeight="1">
      <c r="B82" s="241"/>
      <c r="C82" s="218" t="s">
        <v>1890</v>
      </c>
      <c r="D82" s="218"/>
      <c r="E82" s="218"/>
      <c r="F82" s="239" t="s">
        <v>1882</v>
      </c>
      <c r="G82" s="240"/>
      <c r="H82" s="218" t="s">
        <v>1891</v>
      </c>
      <c r="I82" s="218" t="s">
        <v>1892</v>
      </c>
      <c r="J82" s="218"/>
      <c r="K82" s="230"/>
    </row>
    <row r="83" spans="2:11" ht="15" customHeight="1">
      <c r="B83" s="241"/>
      <c r="C83" s="218" t="s">
        <v>1893</v>
      </c>
      <c r="D83" s="218"/>
      <c r="E83" s="218"/>
      <c r="F83" s="239" t="s">
        <v>1888</v>
      </c>
      <c r="G83" s="218"/>
      <c r="H83" s="218" t="s">
        <v>1894</v>
      </c>
      <c r="I83" s="218" t="s">
        <v>1884</v>
      </c>
      <c r="J83" s="218">
        <v>15</v>
      </c>
      <c r="K83" s="230"/>
    </row>
    <row r="84" spans="2:11" ht="15" customHeight="1">
      <c r="B84" s="241"/>
      <c r="C84" s="218" t="s">
        <v>1895</v>
      </c>
      <c r="D84" s="218"/>
      <c r="E84" s="218"/>
      <c r="F84" s="239" t="s">
        <v>1888</v>
      </c>
      <c r="G84" s="218"/>
      <c r="H84" s="218" t="s">
        <v>1896</v>
      </c>
      <c r="I84" s="218" t="s">
        <v>1884</v>
      </c>
      <c r="J84" s="218">
        <v>15</v>
      </c>
      <c r="K84" s="230"/>
    </row>
    <row r="85" spans="2:11" ht="15" customHeight="1">
      <c r="B85" s="241"/>
      <c r="C85" s="218" t="s">
        <v>1897</v>
      </c>
      <c r="D85" s="218"/>
      <c r="E85" s="218"/>
      <c r="F85" s="239" t="s">
        <v>1888</v>
      </c>
      <c r="G85" s="218"/>
      <c r="H85" s="218" t="s">
        <v>1898</v>
      </c>
      <c r="I85" s="218" t="s">
        <v>1884</v>
      </c>
      <c r="J85" s="218">
        <v>20</v>
      </c>
      <c r="K85" s="230"/>
    </row>
    <row r="86" spans="2:11" ht="15" customHeight="1">
      <c r="B86" s="241"/>
      <c r="C86" s="218" t="s">
        <v>1899</v>
      </c>
      <c r="D86" s="218"/>
      <c r="E86" s="218"/>
      <c r="F86" s="239" t="s">
        <v>1888</v>
      </c>
      <c r="G86" s="218"/>
      <c r="H86" s="218" t="s">
        <v>1900</v>
      </c>
      <c r="I86" s="218" t="s">
        <v>1884</v>
      </c>
      <c r="J86" s="218">
        <v>20</v>
      </c>
      <c r="K86" s="230"/>
    </row>
    <row r="87" spans="2:11" ht="15" customHeight="1">
      <c r="B87" s="241"/>
      <c r="C87" s="218" t="s">
        <v>1901</v>
      </c>
      <c r="D87" s="218"/>
      <c r="E87" s="218"/>
      <c r="F87" s="239" t="s">
        <v>1888</v>
      </c>
      <c r="G87" s="240"/>
      <c r="H87" s="218" t="s">
        <v>1902</v>
      </c>
      <c r="I87" s="218" t="s">
        <v>1884</v>
      </c>
      <c r="J87" s="218">
        <v>50</v>
      </c>
      <c r="K87" s="230"/>
    </row>
    <row r="88" spans="2:11" ht="15" customHeight="1">
      <c r="B88" s="241"/>
      <c r="C88" s="218" t="s">
        <v>1903</v>
      </c>
      <c r="D88" s="218"/>
      <c r="E88" s="218"/>
      <c r="F88" s="239" t="s">
        <v>1888</v>
      </c>
      <c r="G88" s="240"/>
      <c r="H88" s="218" t="s">
        <v>1904</v>
      </c>
      <c r="I88" s="218" t="s">
        <v>1884</v>
      </c>
      <c r="J88" s="218">
        <v>20</v>
      </c>
      <c r="K88" s="230"/>
    </row>
    <row r="89" spans="2:11" ht="15" customHeight="1">
      <c r="B89" s="241"/>
      <c r="C89" s="218" t="s">
        <v>1905</v>
      </c>
      <c r="D89" s="218"/>
      <c r="E89" s="218"/>
      <c r="F89" s="239" t="s">
        <v>1888</v>
      </c>
      <c r="G89" s="240"/>
      <c r="H89" s="218" t="s">
        <v>1906</v>
      </c>
      <c r="I89" s="218" t="s">
        <v>1884</v>
      </c>
      <c r="J89" s="218">
        <v>20</v>
      </c>
      <c r="K89" s="230"/>
    </row>
    <row r="90" spans="2:11" ht="15" customHeight="1">
      <c r="B90" s="241"/>
      <c r="C90" s="218" t="s">
        <v>1907</v>
      </c>
      <c r="D90" s="218"/>
      <c r="E90" s="218"/>
      <c r="F90" s="239" t="s">
        <v>1888</v>
      </c>
      <c r="G90" s="240"/>
      <c r="H90" s="218" t="s">
        <v>1908</v>
      </c>
      <c r="I90" s="218" t="s">
        <v>1884</v>
      </c>
      <c r="J90" s="218">
        <v>50</v>
      </c>
      <c r="K90" s="230"/>
    </row>
    <row r="91" spans="2:11" ht="15" customHeight="1">
      <c r="B91" s="241"/>
      <c r="C91" s="218" t="s">
        <v>1909</v>
      </c>
      <c r="D91" s="218"/>
      <c r="E91" s="218"/>
      <c r="F91" s="239" t="s">
        <v>1888</v>
      </c>
      <c r="G91" s="240"/>
      <c r="H91" s="218" t="s">
        <v>1909</v>
      </c>
      <c r="I91" s="218" t="s">
        <v>1884</v>
      </c>
      <c r="J91" s="218">
        <v>50</v>
      </c>
      <c r="K91" s="230"/>
    </row>
    <row r="92" spans="2:11" ht="15" customHeight="1">
      <c r="B92" s="241"/>
      <c r="C92" s="218" t="s">
        <v>1910</v>
      </c>
      <c r="D92" s="218"/>
      <c r="E92" s="218"/>
      <c r="F92" s="239" t="s">
        <v>1888</v>
      </c>
      <c r="G92" s="240"/>
      <c r="H92" s="218" t="s">
        <v>1911</v>
      </c>
      <c r="I92" s="218" t="s">
        <v>1884</v>
      </c>
      <c r="J92" s="218">
        <v>255</v>
      </c>
      <c r="K92" s="230"/>
    </row>
    <row r="93" spans="2:11" ht="15" customHeight="1">
      <c r="B93" s="241"/>
      <c r="C93" s="218" t="s">
        <v>1912</v>
      </c>
      <c r="D93" s="218"/>
      <c r="E93" s="218"/>
      <c r="F93" s="239" t="s">
        <v>1882</v>
      </c>
      <c r="G93" s="240"/>
      <c r="H93" s="218" t="s">
        <v>1913</v>
      </c>
      <c r="I93" s="218" t="s">
        <v>1914</v>
      </c>
      <c r="J93" s="218"/>
      <c r="K93" s="230"/>
    </row>
    <row r="94" spans="2:11" ht="15" customHeight="1">
      <c r="B94" s="241"/>
      <c r="C94" s="218" t="s">
        <v>1915</v>
      </c>
      <c r="D94" s="218"/>
      <c r="E94" s="218"/>
      <c r="F94" s="239" t="s">
        <v>1882</v>
      </c>
      <c r="G94" s="240"/>
      <c r="H94" s="218" t="s">
        <v>1916</v>
      </c>
      <c r="I94" s="218" t="s">
        <v>1917</v>
      </c>
      <c r="J94" s="218"/>
      <c r="K94" s="230"/>
    </row>
    <row r="95" spans="2:11" ht="15" customHeight="1">
      <c r="B95" s="241"/>
      <c r="C95" s="218" t="s">
        <v>1918</v>
      </c>
      <c r="D95" s="218"/>
      <c r="E95" s="218"/>
      <c r="F95" s="239" t="s">
        <v>1882</v>
      </c>
      <c r="G95" s="240"/>
      <c r="H95" s="218" t="s">
        <v>1918</v>
      </c>
      <c r="I95" s="218" t="s">
        <v>1917</v>
      </c>
      <c r="J95" s="218"/>
      <c r="K95" s="230"/>
    </row>
    <row r="96" spans="2:11" ht="15" customHeight="1">
      <c r="B96" s="241"/>
      <c r="C96" s="218" t="s">
        <v>42</v>
      </c>
      <c r="D96" s="218"/>
      <c r="E96" s="218"/>
      <c r="F96" s="239" t="s">
        <v>1882</v>
      </c>
      <c r="G96" s="240"/>
      <c r="H96" s="218" t="s">
        <v>1919</v>
      </c>
      <c r="I96" s="218" t="s">
        <v>1917</v>
      </c>
      <c r="J96" s="218"/>
      <c r="K96" s="230"/>
    </row>
    <row r="97" spans="2:11" ht="15" customHeight="1">
      <c r="B97" s="241"/>
      <c r="C97" s="218" t="s">
        <v>52</v>
      </c>
      <c r="D97" s="218"/>
      <c r="E97" s="218"/>
      <c r="F97" s="239" t="s">
        <v>1882</v>
      </c>
      <c r="G97" s="240"/>
      <c r="H97" s="218" t="s">
        <v>1920</v>
      </c>
      <c r="I97" s="218" t="s">
        <v>1917</v>
      </c>
      <c r="J97" s="218"/>
      <c r="K97" s="230"/>
    </row>
    <row r="98" spans="2:11" ht="15" customHeight="1">
      <c r="B98" s="242"/>
      <c r="C98" s="243"/>
      <c r="D98" s="243"/>
      <c r="E98" s="243"/>
      <c r="F98" s="243"/>
      <c r="G98" s="243"/>
      <c r="H98" s="243"/>
      <c r="I98" s="243"/>
      <c r="J98" s="243"/>
      <c r="K98" s="244"/>
    </row>
    <row r="99" spans="2:11" ht="18.7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5"/>
    </row>
    <row r="100" spans="2:1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ht="45.15" customHeight="1">
      <c r="B102" s="229"/>
      <c r="C102" s="563" t="s">
        <v>1921</v>
      </c>
      <c r="D102" s="563"/>
      <c r="E102" s="563"/>
      <c r="F102" s="563"/>
      <c r="G102" s="563"/>
      <c r="H102" s="563"/>
      <c r="I102" s="563"/>
      <c r="J102" s="563"/>
      <c r="K102" s="230"/>
    </row>
    <row r="103" spans="2:11" ht="17.25" customHeight="1">
      <c r="B103" s="229"/>
      <c r="C103" s="231" t="s">
        <v>1876</v>
      </c>
      <c r="D103" s="231"/>
      <c r="E103" s="231"/>
      <c r="F103" s="231" t="s">
        <v>1877</v>
      </c>
      <c r="G103" s="232"/>
      <c r="H103" s="231" t="s">
        <v>58</v>
      </c>
      <c r="I103" s="231" t="s">
        <v>61</v>
      </c>
      <c r="J103" s="231" t="s">
        <v>1878</v>
      </c>
      <c r="K103" s="230"/>
    </row>
    <row r="104" spans="2:11" ht="17.25" customHeight="1">
      <c r="B104" s="229"/>
      <c r="C104" s="233" t="s">
        <v>1879</v>
      </c>
      <c r="D104" s="233"/>
      <c r="E104" s="233"/>
      <c r="F104" s="234" t="s">
        <v>1880</v>
      </c>
      <c r="G104" s="235"/>
      <c r="H104" s="233"/>
      <c r="I104" s="233"/>
      <c r="J104" s="233" t="s">
        <v>1881</v>
      </c>
      <c r="K104" s="230"/>
    </row>
    <row r="105" spans="2:11" ht="5.4" customHeight="1">
      <c r="B105" s="229"/>
      <c r="C105" s="231"/>
      <c r="D105" s="231"/>
      <c r="E105" s="231"/>
      <c r="F105" s="231"/>
      <c r="G105" s="247"/>
      <c r="H105" s="231"/>
      <c r="I105" s="231"/>
      <c r="J105" s="231"/>
      <c r="K105" s="230"/>
    </row>
    <row r="106" spans="2:11" ht="15" customHeight="1">
      <c r="B106" s="229"/>
      <c r="C106" s="218" t="s">
        <v>57</v>
      </c>
      <c r="D106" s="238"/>
      <c r="E106" s="238"/>
      <c r="F106" s="239" t="s">
        <v>1882</v>
      </c>
      <c r="G106" s="218"/>
      <c r="H106" s="218" t="s">
        <v>1922</v>
      </c>
      <c r="I106" s="218" t="s">
        <v>1884</v>
      </c>
      <c r="J106" s="218">
        <v>20</v>
      </c>
      <c r="K106" s="230"/>
    </row>
    <row r="107" spans="2:11" ht="15" customHeight="1">
      <c r="B107" s="229"/>
      <c r="C107" s="218" t="s">
        <v>1885</v>
      </c>
      <c r="D107" s="218"/>
      <c r="E107" s="218"/>
      <c r="F107" s="239" t="s">
        <v>1882</v>
      </c>
      <c r="G107" s="218"/>
      <c r="H107" s="218" t="s">
        <v>1922</v>
      </c>
      <c r="I107" s="218" t="s">
        <v>1884</v>
      </c>
      <c r="J107" s="218">
        <v>120</v>
      </c>
      <c r="K107" s="230"/>
    </row>
    <row r="108" spans="2:11" ht="15" customHeight="1">
      <c r="B108" s="241"/>
      <c r="C108" s="218" t="s">
        <v>1887</v>
      </c>
      <c r="D108" s="218"/>
      <c r="E108" s="218"/>
      <c r="F108" s="239" t="s">
        <v>1888</v>
      </c>
      <c r="G108" s="218"/>
      <c r="H108" s="218" t="s">
        <v>1922</v>
      </c>
      <c r="I108" s="218" t="s">
        <v>1884</v>
      </c>
      <c r="J108" s="218">
        <v>50</v>
      </c>
      <c r="K108" s="230"/>
    </row>
    <row r="109" spans="2:11" ht="15" customHeight="1">
      <c r="B109" s="241"/>
      <c r="C109" s="218" t="s">
        <v>1890</v>
      </c>
      <c r="D109" s="218"/>
      <c r="E109" s="218"/>
      <c r="F109" s="239" t="s">
        <v>1882</v>
      </c>
      <c r="G109" s="218"/>
      <c r="H109" s="218" t="s">
        <v>1922</v>
      </c>
      <c r="I109" s="218" t="s">
        <v>1892</v>
      </c>
      <c r="J109" s="218"/>
      <c r="K109" s="230"/>
    </row>
    <row r="110" spans="2:11" ht="15" customHeight="1">
      <c r="B110" s="241"/>
      <c r="C110" s="218" t="s">
        <v>1901</v>
      </c>
      <c r="D110" s="218"/>
      <c r="E110" s="218"/>
      <c r="F110" s="239" t="s">
        <v>1888</v>
      </c>
      <c r="G110" s="218"/>
      <c r="H110" s="218" t="s">
        <v>1922</v>
      </c>
      <c r="I110" s="218" t="s">
        <v>1884</v>
      </c>
      <c r="J110" s="218">
        <v>50</v>
      </c>
      <c r="K110" s="230"/>
    </row>
    <row r="111" spans="2:11" ht="15" customHeight="1">
      <c r="B111" s="241"/>
      <c r="C111" s="218" t="s">
        <v>1909</v>
      </c>
      <c r="D111" s="218"/>
      <c r="E111" s="218"/>
      <c r="F111" s="239" t="s">
        <v>1888</v>
      </c>
      <c r="G111" s="218"/>
      <c r="H111" s="218" t="s">
        <v>1922</v>
      </c>
      <c r="I111" s="218" t="s">
        <v>1884</v>
      </c>
      <c r="J111" s="218">
        <v>50</v>
      </c>
      <c r="K111" s="230"/>
    </row>
    <row r="112" spans="2:11" ht="15" customHeight="1">
      <c r="B112" s="241"/>
      <c r="C112" s="218" t="s">
        <v>1907</v>
      </c>
      <c r="D112" s="218"/>
      <c r="E112" s="218"/>
      <c r="F112" s="239" t="s">
        <v>1888</v>
      </c>
      <c r="G112" s="218"/>
      <c r="H112" s="218" t="s">
        <v>1922</v>
      </c>
      <c r="I112" s="218" t="s">
        <v>1884</v>
      </c>
      <c r="J112" s="218">
        <v>50</v>
      </c>
      <c r="K112" s="230"/>
    </row>
    <row r="113" spans="2:11" ht="15" customHeight="1">
      <c r="B113" s="241"/>
      <c r="C113" s="218" t="s">
        <v>57</v>
      </c>
      <c r="D113" s="218"/>
      <c r="E113" s="218"/>
      <c r="F113" s="239" t="s">
        <v>1882</v>
      </c>
      <c r="G113" s="218"/>
      <c r="H113" s="218" t="s">
        <v>1923</v>
      </c>
      <c r="I113" s="218" t="s">
        <v>1884</v>
      </c>
      <c r="J113" s="218">
        <v>20</v>
      </c>
      <c r="K113" s="230"/>
    </row>
    <row r="114" spans="2:11" ht="15" customHeight="1">
      <c r="B114" s="241"/>
      <c r="C114" s="218" t="s">
        <v>1924</v>
      </c>
      <c r="D114" s="218"/>
      <c r="E114" s="218"/>
      <c r="F114" s="239" t="s">
        <v>1882</v>
      </c>
      <c r="G114" s="218"/>
      <c r="H114" s="218" t="s">
        <v>1925</v>
      </c>
      <c r="I114" s="218" t="s">
        <v>1884</v>
      </c>
      <c r="J114" s="218">
        <v>120</v>
      </c>
      <c r="K114" s="230"/>
    </row>
    <row r="115" spans="2:11" ht="15" customHeight="1">
      <c r="B115" s="241"/>
      <c r="C115" s="218" t="s">
        <v>42</v>
      </c>
      <c r="D115" s="218"/>
      <c r="E115" s="218"/>
      <c r="F115" s="239" t="s">
        <v>1882</v>
      </c>
      <c r="G115" s="218"/>
      <c r="H115" s="218" t="s">
        <v>1926</v>
      </c>
      <c r="I115" s="218" t="s">
        <v>1917</v>
      </c>
      <c r="J115" s="218"/>
      <c r="K115" s="230"/>
    </row>
    <row r="116" spans="2:11" ht="15" customHeight="1">
      <c r="B116" s="241"/>
      <c r="C116" s="218" t="s">
        <v>52</v>
      </c>
      <c r="D116" s="218"/>
      <c r="E116" s="218"/>
      <c r="F116" s="239" t="s">
        <v>1882</v>
      </c>
      <c r="G116" s="218"/>
      <c r="H116" s="218" t="s">
        <v>1927</v>
      </c>
      <c r="I116" s="218" t="s">
        <v>1917</v>
      </c>
      <c r="J116" s="218"/>
      <c r="K116" s="230"/>
    </row>
    <row r="117" spans="2:11" ht="15" customHeight="1">
      <c r="B117" s="241"/>
      <c r="C117" s="218" t="s">
        <v>61</v>
      </c>
      <c r="D117" s="218"/>
      <c r="E117" s="218"/>
      <c r="F117" s="239" t="s">
        <v>1882</v>
      </c>
      <c r="G117" s="218"/>
      <c r="H117" s="218" t="s">
        <v>1928</v>
      </c>
      <c r="I117" s="218" t="s">
        <v>1929</v>
      </c>
      <c r="J117" s="218"/>
      <c r="K117" s="230"/>
    </row>
    <row r="118" spans="2:11" ht="15" customHeight="1">
      <c r="B118" s="242"/>
      <c r="C118" s="248"/>
      <c r="D118" s="248"/>
      <c r="E118" s="248"/>
      <c r="F118" s="248"/>
      <c r="G118" s="248"/>
      <c r="H118" s="248"/>
      <c r="I118" s="248"/>
      <c r="J118" s="248"/>
      <c r="K118" s="244"/>
    </row>
    <row r="119" spans="2:11" ht="18.75" customHeight="1">
      <c r="B119" s="249"/>
      <c r="C119" s="250"/>
      <c r="D119" s="250"/>
      <c r="E119" s="250"/>
      <c r="F119" s="251"/>
      <c r="G119" s="250"/>
      <c r="H119" s="250"/>
      <c r="I119" s="250"/>
      <c r="J119" s="250"/>
      <c r="K119" s="249"/>
    </row>
    <row r="120" spans="2:1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ht="45.15" customHeight="1">
      <c r="B122" s="255"/>
      <c r="C122" s="564" t="s">
        <v>1930</v>
      </c>
      <c r="D122" s="564"/>
      <c r="E122" s="564"/>
      <c r="F122" s="564"/>
      <c r="G122" s="564"/>
      <c r="H122" s="564"/>
      <c r="I122" s="564"/>
      <c r="J122" s="564"/>
      <c r="K122" s="256"/>
    </row>
    <row r="123" spans="2:11" ht="17.25" customHeight="1">
      <c r="B123" s="257"/>
      <c r="C123" s="231" t="s">
        <v>1876</v>
      </c>
      <c r="D123" s="231"/>
      <c r="E123" s="231"/>
      <c r="F123" s="231" t="s">
        <v>1877</v>
      </c>
      <c r="G123" s="232"/>
      <c r="H123" s="231" t="s">
        <v>58</v>
      </c>
      <c r="I123" s="231" t="s">
        <v>61</v>
      </c>
      <c r="J123" s="231" t="s">
        <v>1878</v>
      </c>
      <c r="K123" s="258"/>
    </row>
    <row r="124" spans="2:11" ht="17.25" customHeight="1">
      <c r="B124" s="257"/>
      <c r="C124" s="233" t="s">
        <v>1879</v>
      </c>
      <c r="D124" s="233"/>
      <c r="E124" s="233"/>
      <c r="F124" s="234" t="s">
        <v>1880</v>
      </c>
      <c r="G124" s="235"/>
      <c r="H124" s="233"/>
      <c r="I124" s="233"/>
      <c r="J124" s="233" t="s">
        <v>1881</v>
      </c>
      <c r="K124" s="258"/>
    </row>
    <row r="125" spans="2:11" ht="5.4" customHeight="1">
      <c r="B125" s="259"/>
      <c r="C125" s="236"/>
      <c r="D125" s="236"/>
      <c r="E125" s="236"/>
      <c r="F125" s="236"/>
      <c r="G125" s="260"/>
      <c r="H125" s="236"/>
      <c r="I125" s="236"/>
      <c r="J125" s="236"/>
      <c r="K125" s="261"/>
    </row>
    <row r="126" spans="2:11" ht="15" customHeight="1">
      <c r="B126" s="259"/>
      <c r="C126" s="218" t="s">
        <v>1885</v>
      </c>
      <c r="D126" s="238"/>
      <c r="E126" s="238"/>
      <c r="F126" s="239" t="s">
        <v>1882</v>
      </c>
      <c r="G126" s="218"/>
      <c r="H126" s="218" t="s">
        <v>1922</v>
      </c>
      <c r="I126" s="218" t="s">
        <v>1884</v>
      </c>
      <c r="J126" s="218">
        <v>120</v>
      </c>
      <c r="K126" s="262"/>
    </row>
    <row r="127" spans="2:11" ht="15" customHeight="1">
      <c r="B127" s="259"/>
      <c r="C127" s="218" t="s">
        <v>1931</v>
      </c>
      <c r="D127" s="218"/>
      <c r="E127" s="218"/>
      <c r="F127" s="239" t="s">
        <v>1882</v>
      </c>
      <c r="G127" s="218"/>
      <c r="H127" s="218" t="s">
        <v>1932</v>
      </c>
      <c r="I127" s="218" t="s">
        <v>1884</v>
      </c>
      <c r="J127" s="218" t="s">
        <v>1933</v>
      </c>
      <c r="K127" s="262"/>
    </row>
    <row r="128" spans="2:11" ht="15" customHeight="1">
      <c r="B128" s="259"/>
      <c r="C128" s="218" t="s">
        <v>1830</v>
      </c>
      <c r="D128" s="218"/>
      <c r="E128" s="218"/>
      <c r="F128" s="239" t="s">
        <v>1882</v>
      </c>
      <c r="G128" s="218"/>
      <c r="H128" s="218" t="s">
        <v>1934</v>
      </c>
      <c r="I128" s="218" t="s">
        <v>1884</v>
      </c>
      <c r="J128" s="218" t="s">
        <v>1933</v>
      </c>
      <c r="K128" s="262"/>
    </row>
    <row r="129" spans="2:11" ht="15" customHeight="1">
      <c r="B129" s="259"/>
      <c r="C129" s="218" t="s">
        <v>1893</v>
      </c>
      <c r="D129" s="218"/>
      <c r="E129" s="218"/>
      <c r="F129" s="239" t="s">
        <v>1888</v>
      </c>
      <c r="G129" s="218"/>
      <c r="H129" s="218" t="s">
        <v>1894</v>
      </c>
      <c r="I129" s="218" t="s">
        <v>1884</v>
      </c>
      <c r="J129" s="218">
        <v>15</v>
      </c>
      <c r="K129" s="262"/>
    </row>
    <row r="130" spans="2:11" ht="15" customHeight="1">
      <c r="B130" s="259"/>
      <c r="C130" s="218" t="s">
        <v>1895</v>
      </c>
      <c r="D130" s="218"/>
      <c r="E130" s="218"/>
      <c r="F130" s="239" t="s">
        <v>1888</v>
      </c>
      <c r="G130" s="218"/>
      <c r="H130" s="218" t="s">
        <v>1896</v>
      </c>
      <c r="I130" s="218" t="s">
        <v>1884</v>
      </c>
      <c r="J130" s="218">
        <v>15</v>
      </c>
      <c r="K130" s="262"/>
    </row>
    <row r="131" spans="2:11" ht="15" customHeight="1">
      <c r="B131" s="259"/>
      <c r="C131" s="218" t="s">
        <v>1897</v>
      </c>
      <c r="D131" s="218"/>
      <c r="E131" s="218"/>
      <c r="F131" s="239" t="s">
        <v>1888</v>
      </c>
      <c r="G131" s="218"/>
      <c r="H131" s="218" t="s">
        <v>1898</v>
      </c>
      <c r="I131" s="218" t="s">
        <v>1884</v>
      </c>
      <c r="J131" s="218">
        <v>20</v>
      </c>
      <c r="K131" s="262"/>
    </row>
    <row r="132" spans="2:11" ht="15" customHeight="1">
      <c r="B132" s="259"/>
      <c r="C132" s="218" t="s">
        <v>1899</v>
      </c>
      <c r="D132" s="218"/>
      <c r="E132" s="218"/>
      <c r="F132" s="239" t="s">
        <v>1888</v>
      </c>
      <c r="G132" s="218"/>
      <c r="H132" s="218" t="s">
        <v>1900</v>
      </c>
      <c r="I132" s="218" t="s">
        <v>1884</v>
      </c>
      <c r="J132" s="218">
        <v>20</v>
      </c>
      <c r="K132" s="262"/>
    </row>
    <row r="133" spans="2:11" ht="15" customHeight="1">
      <c r="B133" s="259"/>
      <c r="C133" s="218" t="s">
        <v>1887</v>
      </c>
      <c r="D133" s="218"/>
      <c r="E133" s="218"/>
      <c r="F133" s="239" t="s">
        <v>1888</v>
      </c>
      <c r="G133" s="218"/>
      <c r="H133" s="218" t="s">
        <v>1922</v>
      </c>
      <c r="I133" s="218" t="s">
        <v>1884</v>
      </c>
      <c r="J133" s="218">
        <v>50</v>
      </c>
      <c r="K133" s="262"/>
    </row>
    <row r="134" spans="2:11" ht="15" customHeight="1">
      <c r="B134" s="259"/>
      <c r="C134" s="218" t="s">
        <v>1901</v>
      </c>
      <c r="D134" s="218"/>
      <c r="E134" s="218"/>
      <c r="F134" s="239" t="s">
        <v>1888</v>
      </c>
      <c r="G134" s="218"/>
      <c r="H134" s="218" t="s">
        <v>1922</v>
      </c>
      <c r="I134" s="218" t="s">
        <v>1884</v>
      </c>
      <c r="J134" s="218">
        <v>50</v>
      </c>
      <c r="K134" s="262"/>
    </row>
    <row r="135" spans="2:11" ht="15" customHeight="1">
      <c r="B135" s="259"/>
      <c r="C135" s="218" t="s">
        <v>1907</v>
      </c>
      <c r="D135" s="218"/>
      <c r="E135" s="218"/>
      <c r="F135" s="239" t="s">
        <v>1888</v>
      </c>
      <c r="G135" s="218"/>
      <c r="H135" s="218" t="s">
        <v>1922</v>
      </c>
      <c r="I135" s="218" t="s">
        <v>1884</v>
      </c>
      <c r="J135" s="218">
        <v>50</v>
      </c>
      <c r="K135" s="262"/>
    </row>
    <row r="136" spans="2:11" ht="15" customHeight="1">
      <c r="B136" s="259"/>
      <c r="C136" s="218" t="s">
        <v>1909</v>
      </c>
      <c r="D136" s="218"/>
      <c r="E136" s="218"/>
      <c r="F136" s="239" t="s">
        <v>1888</v>
      </c>
      <c r="G136" s="218"/>
      <c r="H136" s="218" t="s">
        <v>1922</v>
      </c>
      <c r="I136" s="218" t="s">
        <v>1884</v>
      </c>
      <c r="J136" s="218">
        <v>50</v>
      </c>
      <c r="K136" s="262"/>
    </row>
    <row r="137" spans="2:11" ht="15" customHeight="1">
      <c r="B137" s="259"/>
      <c r="C137" s="218" t="s">
        <v>1910</v>
      </c>
      <c r="D137" s="218"/>
      <c r="E137" s="218"/>
      <c r="F137" s="239" t="s">
        <v>1888</v>
      </c>
      <c r="G137" s="218"/>
      <c r="H137" s="218" t="s">
        <v>1935</v>
      </c>
      <c r="I137" s="218" t="s">
        <v>1884</v>
      </c>
      <c r="J137" s="218">
        <v>255</v>
      </c>
      <c r="K137" s="262"/>
    </row>
    <row r="138" spans="2:11" ht="15" customHeight="1">
      <c r="B138" s="259"/>
      <c r="C138" s="218" t="s">
        <v>1912</v>
      </c>
      <c r="D138" s="218"/>
      <c r="E138" s="218"/>
      <c r="F138" s="239" t="s">
        <v>1882</v>
      </c>
      <c r="G138" s="218"/>
      <c r="H138" s="218" t="s">
        <v>1936</v>
      </c>
      <c r="I138" s="218" t="s">
        <v>1914</v>
      </c>
      <c r="J138" s="218"/>
      <c r="K138" s="262"/>
    </row>
    <row r="139" spans="2:11" ht="15" customHeight="1">
      <c r="B139" s="259"/>
      <c r="C139" s="218" t="s">
        <v>1915</v>
      </c>
      <c r="D139" s="218"/>
      <c r="E139" s="218"/>
      <c r="F139" s="239" t="s">
        <v>1882</v>
      </c>
      <c r="G139" s="218"/>
      <c r="H139" s="218" t="s">
        <v>1937</v>
      </c>
      <c r="I139" s="218" t="s">
        <v>1917</v>
      </c>
      <c r="J139" s="218"/>
      <c r="K139" s="262"/>
    </row>
    <row r="140" spans="2:11" ht="15" customHeight="1">
      <c r="B140" s="259"/>
      <c r="C140" s="218" t="s">
        <v>1918</v>
      </c>
      <c r="D140" s="218"/>
      <c r="E140" s="218"/>
      <c r="F140" s="239" t="s">
        <v>1882</v>
      </c>
      <c r="G140" s="218"/>
      <c r="H140" s="218" t="s">
        <v>1918</v>
      </c>
      <c r="I140" s="218" t="s">
        <v>1917</v>
      </c>
      <c r="J140" s="218"/>
      <c r="K140" s="262"/>
    </row>
    <row r="141" spans="2:11" ht="15" customHeight="1">
      <c r="B141" s="259"/>
      <c r="C141" s="218" t="s">
        <v>42</v>
      </c>
      <c r="D141" s="218"/>
      <c r="E141" s="218"/>
      <c r="F141" s="239" t="s">
        <v>1882</v>
      </c>
      <c r="G141" s="218"/>
      <c r="H141" s="218" t="s">
        <v>1938</v>
      </c>
      <c r="I141" s="218" t="s">
        <v>1917</v>
      </c>
      <c r="J141" s="218"/>
      <c r="K141" s="262"/>
    </row>
    <row r="142" spans="2:11" ht="15" customHeight="1">
      <c r="B142" s="259"/>
      <c r="C142" s="218" t="s">
        <v>1939</v>
      </c>
      <c r="D142" s="218"/>
      <c r="E142" s="218"/>
      <c r="F142" s="239" t="s">
        <v>1882</v>
      </c>
      <c r="G142" s="218"/>
      <c r="H142" s="218" t="s">
        <v>1940</v>
      </c>
      <c r="I142" s="218" t="s">
        <v>1917</v>
      </c>
      <c r="J142" s="218"/>
      <c r="K142" s="262"/>
    </row>
    <row r="143" spans="2:11" ht="15" customHeight="1">
      <c r="B143" s="263"/>
      <c r="C143" s="264"/>
      <c r="D143" s="264"/>
      <c r="E143" s="264"/>
      <c r="F143" s="264"/>
      <c r="G143" s="264"/>
      <c r="H143" s="264"/>
      <c r="I143" s="264"/>
      <c r="J143" s="264"/>
      <c r="K143" s="265"/>
    </row>
    <row r="144" spans="2:11" ht="18.75" customHeight="1">
      <c r="B144" s="250"/>
      <c r="C144" s="250"/>
      <c r="D144" s="250"/>
      <c r="E144" s="250"/>
      <c r="F144" s="251"/>
      <c r="G144" s="250"/>
      <c r="H144" s="250"/>
      <c r="I144" s="250"/>
      <c r="J144" s="250"/>
      <c r="K144" s="250"/>
    </row>
    <row r="145" spans="2:1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ht="45.15" customHeight="1">
      <c r="B147" s="229"/>
      <c r="C147" s="563" t="s">
        <v>1941</v>
      </c>
      <c r="D147" s="563"/>
      <c r="E147" s="563"/>
      <c r="F147" s="563"/>
      <c r="G147" s="563"/>
      <c r="H147" s="563"/>
      <c r="I147" s="563"/>
      <c r="J147" s="563"/>
      <c r="K147" s="230"/>
    </row>
    <row r="148" spans="2:11" ht="17.25" customHeight="1">
      <c r="B148" s="229"/>
      <c r="C148" s="231" t="s">
        <v>1876</v>
      </c>
      <c r="D148" s="231"/>
      <c r="E148" s="231"/>
      <c r="F148" s="231" t="s">
        <v>1877</v>
      </c>
      <c r="G148" s="232"/>
      <c r="H148" s="231" t="s">
        <v>58</v>
      </c>
      <c r="I148" s="231" t="s">
        <v>61</v>
      </c>
      <c r="J148" s="231" t="s">
        <v>1878</v>
      </c>
      <c r="K148" s="230"/>
    </row>
    <row r="149" spans="2:11" ht="17.25" customHeight="1">
      <c r="B149" s="229"/>
      <c r="C149" s="233" t="s">
        <v>1879</v>
      </c>
      <c r="D149" s="233"/>
      <c r="E149" s="233"/>
      <c r="F149" s="234" t="s">
        <v>1880</v>
      </c>
      <c r="G149" s="235"/>
      <c r="H149" s="233"/>
      <c r="I149" s="233"/>
      <c r="J149" s="233" t="s">
        <v>1881</v>
      </c>
      <c r="K149" s="230"/>
    </row>
    <row r="150" spans="2:11" ht="5.4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2"/>
    </row>
    <row r="151" spans="2:11" ht="15" customHeight="1">
      <c r="B151" s="241"/>
      <c r="C151" s="266" t="s">
        <v>1885</v>
      </c>
      <c r="D151" s="218"/>
      <c r="E151" s="218"/>
      <c r="F151" s="267" t="s">
        <v>1882</v>
      </c>
      <c r="G151" s="218"/>
      <c r="H151" s="266" t="s">
        <v>1922</v>
      </c>
      <c r="I151" s="266" t="s">
        <v>1884</v>
      </c>
      <c r="J151" s="266">
        <v>120</v>
      </c>
      <c r="K151" s="262"/>
    </row>
    <row r="152" spans="2:11" ht="15" customHeight="1">
      <c r="B152" s="241"/>
      <c r="C152" s="266" t="s">
        <v>1931</v>
      </c>
      <c r="D152" s="218"/>
      <c r="E152" s="218"/>
      <c r="F152" s="267" t="s">
        <v>1882</v>
      </c>
      <c r="G152" s="218"/>
      <c r="H152" s="266" t="s">
        <v>1942</v>
      </c>
      <c r="I152" s="266" t="s">
        <v>1884</v>
      </c>
      <c r="J152" s="266" t="s">
        <v>1933</v>
      </c>
      <c r="K152" s="262"/>
    </row>
    <row r="153" spans="2:11" ht="15" customHeight="1">
      <c r="B153" s="241"/>
      <c r="C153" s="266" t="s">
        <v>1830</v>
      </c>
      <c r="D153" s="218"/>
      <c r="E153" s="218"/>
      <c r="F153" s="267" t="s">
        <v>1882</v>
      </c>
      <c r="G153" s="218"/>
      <c r="H153" s="266" t="s">
        <v>1943</v>
      </c>
      <c r="I153" s="266" t="s">
        <v>1884</v>
      </c>
      <c r="J153" s="266" t="s">
        <v>1933</v>
      </c>
      <c r="K153" s="262"/>
    </row>
    <row r="154" spans="2:11" ht="15" customHeight="1">
      <c r="B154" s="241"/>
      <c r="C154" s="266" t="s">
        <v>1887</v>
      </c>
      <c r="D154" s="218"/>
      <c r="E154" s="218"/>
      <c r="F154" s="267" t="s">
        <v>1888</v>
      </c>
      <c r="G154" s="218"/>
      <c r="H154" s="266" t="s">
        <v>1922</v>
      </c>
      <c r="I154" s="266" t="s">
        <v>1884</v>
      </c>
      <c r="J154" s="266">
        <v>50</v>
      </c>
      <c r="K154" s="262"/>
    </row>
    <row r="155" spans="2:11" ht="15" customHeight="1">
      <c r="B155" s="241"/>
      <c r="C155" s="266" t="s">
        <v>1890</v>
      </c>
      <c r="D155" s="218"/>
      <c r="E155" s="218"/>
      <c r="F155" s="267" t="s">
        <v>1882</v>
      </c>
      <c r="G155" s="218"/>
      <c r="H155" s="266" t="s">
        <v>1922</v>
      </c>
      <c r="I155" s="266" t="s">
        <v>1892</v>
      </c>
      <c r="J155" s="266"/>
      <c r="K155" s="262"/>
    </row>
    <row r="156" spans="2:11" ht="15" customHeight="1">
      <c r="B156" s="241"/>
      <c r="C156" s="266" t="s">
        <v>1901</v>
      </c>
      <c r="D156" s="218"/>
      <c r="E156" s="218"/>
      <c r="F156" s="267" t="s">
        <v>1888</v>
      </c>
      <c r="G156" s="218"/>
      <c r="H156" s="266" t="s">
        <v>1922</v>
      </c>
      <c r="I156" s="266" t="s">
        <v>1884</v>
      </c>
      <c r="J156" s="266">
        <v>50</v>
      </c>
      <c r="K156" s="262"/>
    </row>
    <row r="157" spans="2:11" ht="15" customHeight="1">
      <c r="B157" s="241"/>
      <c r="C157" s="266" t="s">
        <v>1909</v>
      </c>
      <c r="D157" s="218"/>
      <c r="E157" s="218"/>
      <c r="F157" s="267" t="s">
        <v>1888</v>
      </c>
      <c r="G157" s="218"/>
      <c r="H157" s="266" t="s">
        <v>1922</v>
      </c>
      <c r="I157" s="266" t="s">
        <v>1884</v>
      </c>
      <c r="J157" s="266">
        <v>50</v>
      </c>
      <c r="K157" s="262"/>
    </row>
    <row r="158" spans="2:11" ht="15" customHeight="1">
      <c r="B158" s="241"/>
      <c r="C158" s="266" t="s">
        <v>1907</v>
      </c>
      <c r="D158" s="218"/>
      <c r="E158" s="218"/>
      <c r="F158" s="267" t="s">
        <v>1888</v>
      </c>
      <c r="G158" s="218"/>
      <c r="H158" s="266" t="s">
        <v>1922</v>
      </c>
      <c r="I158" s="266" t="s">
        <v>1884</v>
      </c>
      <c r="J158" s="266">
        <v>50</v>
      </c>
      <c r="K158" s="262"/>
    </row>
    <row r="159" spans="2:11" ht="15" customHeight="1">
      <c r="B159" s="241"/>
      <c r="C159" s="266" t="s">
        <v>121</v>
      </c>
      <c r="D159" s="218"/>
      <c r="E159" s="218"/>
      <c r="F159" s="267" t="s">
        <v>1882</v>
      </c>
      <c r="G159" s="218"/>
      <c r="H159" s="266" t="s">
        <v>1944</v>
      </c>
      <c r="I159" s="266" t="s">
        <v>1884</v>
      </c>
      <c r="J159" s="266" t="s">
        <v>1945</v>
      </c>
      <c r="K159" s="262"/>
    </row>
    <row r="160" spans="2:11" ht="15" customHeight="1">
      <c r="B160" s="241"/>
      <c r="C160" s="266" t="s">
        <v>1946</v>
      </c>
      <c r="D160" s="218"/>
      <c r="E160" s="218"/>
      <c r="F160" s="267" t="s">
        <v>1882</v>
      </c>
      <c r="G160" s="218"/>
      <c r="H160" s="266" t="s">
        <v>1947</v>
      </c>
      <c r="I160" s="266" t="s">
        <v>1917</v>
      </c>
      <c r="J160" s="266"/>
      <c r="K160" s="262"/>
    </row>
    <row r="161" spans="2:11" ht="15" customHeight="1">
      <c r="B161" s="268"/>
      <c r="C161" s="248"/>
      <c r="D161" s="248"/>
      <c r="E161" s="248"/>
      <c r="F161" s="248"/>
      <c r="G161" s="248"/>
      <c r="H161" s="248"/>
      <c r="I161" s="248"/>
      <c r="J161" s="248"/>
      <c r="K161" s="269"/>
    </row>
    <row r="162" spans="2:11" ht="18.75" customHeight="1">
      <c r="B162" s="250"/>
      <c r="C162" s="260"/>
      <c r="D162" s="260"/>
      <c r="E162" s="260"/>
      <c r="F162" s="270"/>
      <c r="G162" s="260"/>
      <c r="H162" s="260"/>
      <c r="I162" s="260"/>
      <c r="J162" s="260"/>
      <c r="K162" s="250"/>
    </row>
    <row r="163" spans="2:1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ht="45.15" customHeight="1">
      <c r="B165" s="210"/>
      <c r="C165" s="564" t="s">
        <v>1948</v>
      </c>
      <c r="D165" s="564"/>
      <c r="E165" s="564"/>
      <c r="F165" s="564"/>
      <c r="G165" s="564"/>
      <c r="H165" s="564"/>
      <c r="I165" s="564"/>
      <c r="J165" s="564"/>
      <c r="K165" s="211"/>
    </row>
    <row r="166" spans="2:11" ht="17.25" customHeight="1">
      <c r="B166" s="210"/>
      <c r="C166" s="231" t="s">
        <v>1876</v>
      </c>
      <c r="D166" s="231"/>
      <c r="E166" s="231"/>
      <c r="F166" s="231" t="s">
        <v>1877</v>
      </c>
      <c r="G166" s="271"/>
      <c r="H166" s="272" t="s">
        <v>58</v>
      </c>
      <c r="I166" s="272" t="s">
        <v>61</v>
      </c>
      <c r="J166" s="231" t="s">
        <v>1878</v>
      </c>
      <c r="K166" s="211"/>
    </row>
    <row r="167" spans="2:11" ht="17.25" customHeight="1">
      <c r="B167" s="212"/>
      <c r="C167" s="233" t="s">
        <v>1879</v>
      </c>
      <c r="D167" s="233"/>
      <c r="E167" s="233"/>
      <c r="F167" s="234" t="s">
        <v>1880</v>
      </c>
      <c r="G167" s="273"/>
      <c r="H167" s="274"/>
      <c r="I167" s="274"/>
      <c r="J167" s="233" t="s">
        <v>1881</v>
      </c>
      <c r="K167" s="213"/>
    </row>
    <row r="168" spans="2:11" ht="5.4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2"/>
    </row>
    <row r="169" spans="2:11" ht="15" customHeight="1">
      <c r="B169" s="241"/>
      <c r="C169" s="218" t="s">
        <v>1885</v>
      </c>
      <c r="D169" s="218"/>
      <c r="E169" s="218"/>
      <c r="F169" s="239" t="s">
        <v>1882</v>
      </c>
      <c r="G169" s="218"/>
      <c r="H169" s="218" t="s">
        <v>1922</v>
      </c>
      <c r="I169" s="218" t="s">
        <v>1884</v>
      </c>
      <c r="J169" s="218">
        <v>120</v>
      </c>
      <c r="K169" s="262"/>
    </row>
    <row r="170" spans="2:11" ht="15" customHeight="1">
      <c r="B170" s="241"/>
      <c r="C170" s="218" t="s">
        <v>1931</v>
      </c>
      <c r="D170" s="218"/>
      <c r="E170" s="218"/>
      <c r="F170" s="239" t="s">
        <v>1882</v>
      </c>
      <c r="G170" s="218"/>
      <c r="H170" s="218" t="s">
        <v>1932</v>
      </c>
      <c r="I170" s="218" t="s">
        <v>1884</v>
      </c>
      <c r="J170" s="218" t="s">
        <v>1933</v>
      </c>
      <c r="K170" s="262"/>
    </row>
    <row r="171" spans="2:11" ht="15" customHeight="1">
      <c r="B171" s="241"/>
      <c r="C171" s="218" t="s">
        <v>1830</v>
      </c>
      <c r="D171" s="218"/>
      <c r="E171" s="218"/>
      <c r="F171" s="239" t="s">
        <v>1882</v>
      </c>
      <c r="G171" s="218"/>
      <c r="H171" s="218" t="s">
        <v>1949</v>
      </c>
      <c r="I171" s="218" t="s">
        <v>1884</v>
      </c>
      <c r="J171" s="218" t="s">
        <v>1933</v>
      </c>
      <c r="K171" s="262"/>
    </row>
    <row r="172" spans="2:11" ht="15" customHeight="1">
      <c r="B172" s="241"/>
      <c r="C172" s="218" t="s">
        <v>1887</v>
      </c>
      <c r="D172" s="218"/>
      <c r="E172" s="218"/>
      <c r="F172" s="239" t="s">
        <v>1888</v>
      </c>
      <c r="G172" s="218"/>
      <c r="H172" s="218" t="s">
        <v>1949</v>
      </c>
      <c r="I172" s="218" t="s">
        <v>1884</v>
      </c>
      <c r="J172" s="218">
        <v>50</v>
      </c>
      <c r="K172" s="262"/>
    </row>
    <row r="173" spans="2:11" ht="15" customHeight="1">
      <c r="B173" s="241"/>
      <c r="C173" s="218" t="s">
        <v>1890</v>
      </c>
      <c r="D173" s="218"/>
      <c r="E173" s="218"/>
      <c r="F173" s="239" t="s">
        <v>1882</v>
      </c>
      <c r="G173" s="218"/>
      <c r="H173" s="218" t="s">
        <v>1949</v>
      </c>
      <c r="I173" s="218" t="s">
        <v>1892</v>
      </c>
      <c r="J173" s="218"/>
      <c r="K173" s="262"/>
    </row>
    <row r="174" spans="2:11" ht="15" customHeight="1">
      <c r="B174" s="241"/>
      <c r="C174" s="218" t="s">
        <v>1901</v>
      </c>
      <c r="D174" s="218"/>
      <c r="E174" s="218"/>
      <c r="F174" s="239" t="s">
        <v>1888</v>
      </c>
      <c r="G174" s="218"/>
      <c r="H174" s="218" t="s">
        <v>1949</v>
      </c>
      <c r="I174" s="218" t="s">
        <v>1884</v>
      </c>
      <c r="J174" s="218">
        <v>50</v>
      </c>
      <c r="K174" s="262"/>
    </row>
    <row r="175" spans="2:11" ht="15" customHeight="1">
      <c r="B175" s="241"/>
      <c r="C175" s="218" t="s">
        <v>1909</v>
      </c>
      <c r="D175" s="218"/>
      <c r="E175" s="218"/>
      <c r="F175" s="239" t="s">
        <v>1888</v>
      </c>
      <c r="G175" s="218"/>
      <c r="H175" s="218" t="s">
        <v>1949</v>
      </c>
      <c r="I175" s="218" t="s">
        <v>1884</v>
      </c>
      <c r="J175" s="218">
        <v>50</v>
      </c>
      <c r="K175" s="262"/>
    </row>
    <row r="176" spans="2:11" ht="15" customHeight="1">
      <c r="B176" s="241"/>
      <c r="C176" s="218" t="s">
        <v>1907</v>
      </c>
      <c r="D176" s="218"/>
      <c r="E176" s="218"/>
      <c r="F176" s="239" t="s">
        <v>1888</v>
      </c>
      <c r="G176" s="218"/>
      <c r="H176" s="218" t="s">
        <v>1949</v>
      </c>
      <c r="I176" s="218" t="s">
        <v>1884</v>
      </c>
      <c r="J176" s="218">
        <v>50</v>
      </c>
      <c r="K176" s="262"/>
    </row>
    <row r="177" spans="2:11" ht="15" customHeight="1">
      <c r="B177" s="241"/>
      <c r="C177" s="218" t="s">
        <v>130</v>
      </c>
      <c r="D177" s="218"/>
      <c r="E177" s="218"/>
      <c r="F177" s="239" t="s">
        <v>1882</v>
      </c>
      <c r="G177" s="218"/>
      <c r="H177" s="218" t="s">
        <v>1950</v>
      </c>
      <c r="I177" s="218" t="s">
        <v>1951</v>
      </c>
      <c r="J177" s="218"/>
      <c r="K177" s="262"/>
    </row>
    <row r="178" spans="2:11" ht="15" customHeight="1">
      <c r="B178" s="241"/>
      <c r="C178" s="218" t="s">
        <v>61</v>
      </c>
      <c r="D178" s="218"/>
      <c r="E178" s="218"/>
      <c r="F178" s="239" t="s">
        <v>1882</v>
      </c>
      <c r="G178" s="218"/>
      <c r="H178" s="218" t="s">
        <v>1952</v>
      </c>
      <c r="I178" s="218" t="s">
        <v>1953</v>
      </c>
      <c r="J178" s="218">
        <v>1</v>
      </c>
      <c r="K178" s="262"/>
    </row>
    <row r="179" spans="2:11" ht="15" customHeight="1">
      <c r="B179" s="241"/>
      <c r="C179" s="218" t="s">
        <v>57</v>
      </c>
      <c r="D179" s="218"/>
      <c r="E179" s="218"/>
      <c r="F179" s="239" t="s">
        <v>1882</v>
      </c>
      <c r="G179" s="218"/>
      <c r="H179" s="218" t="s">
        <v>1954</v>
      </c>
      <c r="I179" s="218" t="s">
        <v>1884</v>
      </c>
      <c r="J179" s="218">
        <v>20</v>
      </c>
      <c r="K179" s="262"/>
    </row>
    <row r="180" spans="2:11" ht="15" customHeight="1">
      <c r="B180" s="241"/>
      <c r="C180" s="218" t="s">
        <v>58</v>
      </c>
      <c r="D180" s="218"/>
      <c r="E180" s="218"/>
      <c r="F180" s="239" t="s">
        <v>1882</v>
      </c>
      <c r="G180" s="218"/>
      <c r="H180" s="218" t="s">
        <v>1955</v>
      </c>
      <c r="I180" s="218" t="s">
        <v>1884</v>
      </c>
      <c r="J180" s="218">
        <v>255</v>
      </c>
      <c r="K180" s="262"/>
    </row>
    <row r="181" spans="2:11" ht="15" customHeight="1">
      <c r="B181" s="241"/>
      <c r="C181" s="218" t="s">
        <v>131</v>
      </c>
      <c r="D181" s="218"/>
      <c r="E181" s="218"/>
      <c r="F181" s="239" t="s">
        <v>1882</v>
      </c>
      <c r="G181" s="218"/>
      <c r="H181" s="218" t="s">
        <v>1846</v>
      </c>
      <c r="I181" s="218" t="s">
        <v>1884</v>
      </c>
      <c r="J181" s="218">
        <v>10</v>
      </c>
      <c r="K181" s="262"/>
    </row>
    <row r="182" spans="2:11" ht="15" customHeight="1">
      <c r="B182" s="241"/>
      <c r="C182" s="218" t="s">
        <v>132</v>
      </c>
      <c r="D182" s="218"/>
      <c r="E182" s="218"/>
      <c r="F182" s="239" t="s">
        <v>1882</v>
      </c>
      <c r="G182" s="218"/>
      <c r="H182" s="218" t="s">
        <v>1956</v>
      </c>
      <c r="I182" s="218" t="s">
        <v>1917</v>
      </c>
      <c r="J182" s="218"/>
      <c r="K182" s="262"/>
    </row>
    <row r="183" spans="2:11" ht="15" customHeight="1">
      <c r="B183" s="241"/>
      <c r="C183" s="218" t="s">
        <v>1957</v>
      </c>
      <c r="D183" s="218"/>
      <c r="E183" s="218"/>
      <c r="F183" s="239" t="s">
        <v>1882</v>
      </c>
      <c r="G183" s="218"/>
      <c r="H183" s="218" t="s">
        <v>1958</v>
      </c>
      <c r="I183" s="218" t="s">
        <v>1917</v>
      </c>
      <c r="J183" s="218"/>
      <c r="K183" s="262"/>
    </row>
    <row r="184" spans="2:11" ht="15" customHeight="1">
      <c r="B184" s="241"/>
      <c r="C184" s="218" t="s">
        <v>1946</v>
      </c>
      <c r="D184" s="218"/>
      <c r="E184" s="218"/>
      <c r="F184" s="239" t="s">
        <v>1882</v>
      </c>
      <c r="G184" s="218"/>
      <c r="H184" s="218" t="s">
        <v>1959</v>
      </c>
      <c r="I184" s="218" t="s">
        <v>1917</v>
      </c>
      <c r="J184" s="218"/>
      <c r="K184" s="262"/>
    </row>
    <row r="185" spans="2:11" ht="15" customHeight="1">
      <c r="B185" s="241"/>
      <c r="C185" s="218" t="s">
        <v>134</v>
      </c>
      <c r="D185" s="218"/>
      <c r="E185" s="218"/>
      <c r="F185" s="239" t="s">
        <v>1888</v>
      </c>
      <c r="G185" s="218"/>
      <c r="H185" s="218" t="s">
        <v>1960</v>
      </c>
      <c r="I185" s="218" t="s">
        <v>1884</v>
      </c>
      <c r="J185" s="218">
        <v>50</v>
      </c>
      <c r="K185" s="262"/>
    </row>
    <row r="186" spans="2:11" ht="15" customHeight="1">
      <c r="B186" s="241"/>
      <c r="C186" s="218" t="s">
        <v>1961</v>
      </c>
      <c r="D186" s="218"/>
      <c r="E186" s="218"/>
      <c r="F186" s="239" t="s">
        <v>1888</v>
      </c>
      <c r="G186" s="218"/>
      <c r="H186" s="218" t="s">
        <v>1962</v>
      </c>
      <c r="I186" s="218" t="s">
        <v>1963</v>
      </c>
      <c r="J186" s="218"/>
      <c r="K186" s="262"/>
    </row>
    <row r="187" spans="2:11" ht="15" customHeight="1">
      <c r="B187" s="241"/>
      <c r="C187" s="218" t="s">
        <v>1964</v>
      </c>
      <c r="D187" s="218"/>
      <c r="E187" s="218"/>
      <c r="F187" s="239" t="s">
        <v>1888</v>
      </c>
      <c r="G187" s="218"/>
      <c r="H187" s="218" t="s">
        <v>1965</v>
      </c>
      <c r="I187" s="218" t="s">
        <v>1963</v>
      </c>
      <c r="J187" s="218"/>
      <c r="K187" s="262"/>
    </row>
    <row r="188" spans="2:11" ht="15" customHeight="1">
      <c r="B188" s="241"/>
      <c r="C188" s="218" t="s">
        <v>1966</v>
      </c>
      <c r="D188" s="218"/>
      <c r="E188" s="218"/>
      <c r="F188" s="239" t="s">
        <v>1888</v>
      </c>
      <c r="G188" s="218"/>
      <c r="H188" s="218" t="s">
        <v>1967</v>
      </c>
      <c r="I188" s="218" t="s">
        <v>1963</v>
      </c>
      <c r="J188" s="218"/>
      <c r="K188" s="262"/>
    </row>
    <row r="189" spans="2:11" ht="15" customHeight="1">
      <c r="B189" s="241"/>
      <c r="C189" s="275" t="s">
        <v>1968</v>
      </c>
      <c r="D189" s="218"/>
      <c r="E189" s="218"/>
      <c r="F189" s="239" t="s">
        <v>1888</v>
      </c>
      <c r="G189" s="218"/>
      <c r="H189" s="218" t="s">
        <v>1969</v>
      </c>
      <c r="I189" s="218" t="s">
        <v>1970</v>
      </c>
      <c r="J189" s="276" t="s">
        <v>1971</v>
      </c>
      <c r="K189" s="262"/>
    </row>
    <row r="190" spans="2:11" ht="15" customHeight="1">
      <c r="B190" s="241"/>
      <c r="C190" s="275" t="s">
        <v>46</v>
      </c>
      <c r="D190" s="218"/>
      <c r="E190" s="218"/>
      <c r="F190" s="239" t="s">
        <v>1882</v>
      </c>
      <c r="G190" s="218"/>
      <c r="H190" s="215" t="s">
        <v>1972</v>
      </c>
      <c r="I190" s="218" t="s">
        <v>1973</v>
      </c>
      <c r="J190" s="218"/>
      <c r="K190" s="262"/>
    </row>
    <row r="191" spans="2:11" ht="15" customHeight="1">
      <c r="B191" s="241"/>
      <c r="C191" s="275" t="s">
        <v>1974</v>
      </c>
      <c r="D191" s="218"/>
      <c r="E191" s="218"/>
      <c r="F191" s="239" t="s">
        <v>1882</v>
      </c>
      <c r="G191" s="218"/>
      <c r="H191" s="218" t="s">
        <v>1975</v>
      </c>
      <c r="I191" s="218" t="s">
        <v>1917</v>
      </c>
      <c r="J191" s="218"/>
      <c r="K191" s="262"/>
    </row>
    <row r="192" spans="2:11" ht="15" customHeight="1">
      <c r="B192" s="241"/>
      <c r="C192" s="275" t="s">
        <v>1976</v>
      </c>
      <c r="D192" s="218"/>
      <c r="E192" s="218"/>
      <c r="F192" s="239" t="s">
        <v>1882</v>
      </c>
      <c r="G192" s="218"/>
      <c r="H192" s="218" t="s">
        <v>1977</v>
      </c>
      <c r="I192" s="218" t="s">
        <v>1917</v>
      </c>
      <c r="J192" s="218"/>
      <c r="K192" s="262"/>
    </row>
    <row r="193" spans="2:11" ht="15" customHeight="1">
      <c r="B193" s="241"/>
      <c r="C193" s="275" t="s">
        <v>1978</v>
      </c>
      <c r="D193" s="218"/>
      <c r="E193" s="218"/>
      <c r="F193" s="239" t="s">
        <v>1888</v>
      </c>
      <c r="G193" s="218"/>
      <c r="H193" s="218" t="s">
        <v>1979</v>
      </c>
      <c r="I193" s="218" t="s">
        <v>1917</v>
      </c>
      <c r="J193" s="218"/>
      <c r="K193" s="262"/>
    </row>
    <row r="194" spans="2:11" ht="15" customHeight="1">
      <c r="B194" s="268"/>
      <c r="C194" s="277"/>
      <c r="D194" s="248"/>
      <c r="E194" s="248"/>
      <c r="F194" s="248"/>
      <c r="G194" s="248"/>
      <c r="H194" s="248"/>
      <c r="I194" s="248"/>
      <c r="J194" s="248"/>
      <c r="K194" s="269"/>
    </row>
    <row r="195" spans="2:11" ht="18.75" customHeight="1">
      <c r="B195" s="250"/>
      <c r="C195" s="260"/>
      <c r="D195" s="260"/>
      <c r="E195" s="260"/>
      <c r="F195" s="270"/>
      <c r="G195" s="260"/>
      <c r="H195" s="260"/>
      <c r="I195" s="260"/>
      <c r="J195" s="260"/>
      <c r="K195" s="250"/>
    </row>
    <row r="196" spans="2:11" ht="18.75" customHeight="1">
      <c r="B196" s="250"/>
      <c r="C196" s="260"/>
      <c r="D196" s="260"/>
      <c r="E196" s="260"/>
      <c r="F196" s="270"/>
      <c r="G196" s="260"/>
      <c r="H196" s="260"/>
      <c r="I196" s="260"/>
      <c r="J196" s="260"/>
      <c r="K196" s="250"/>
    </row>
    <row r="197" spans="2:1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ht="12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ht="22.2">
      <c r="B199" s="210"/>
      <c r="C199" s="564" t="s">
        <v>1980</v>
      </c>
      <c r="D199" s="564"/>
      <c r="E199" s="564"/>
      <c r="F199" s="564"/>
      <c r="G199" s="564"/>
      <c r="H199" s="564"/>
      <c r="I199" s="564"/>
      <c r="J199" s="564"/>
      <c r="K199" s="211"/>
    </row>
    <row r="200" spans="2:11" ht="25.5" customHeight="1">
      <c r="B200" s="210"/>
      <c r="C200" s="278" t="s">
        <v>1981</v>
      </c>
      <c r="D200" s="278"/>
      <c r="E200" s="278"/>
      <c r="F200" s="278" t="s">
        <v>1982</v>
      </c>
      <c r="G200" s="279"/>
      <c r="H200" s="565" t="s">
        <v>1983</v>
      </c>
      <c r="I200" s="565"/>
      <c r="J200" s="565"/>
      <c r="K200" s="211"/>
    </row>
    <row r="201" spans="2:11" ht="5.4" customHeight="1">
      <c r="B201" s="241"/>
      <c r="C201" s="236"/>
      <c r="D201" s="236"/>
      <c r="E201" s="236"/>
      <c r="F201" s="236"/>
      <c r="G201" s="260"/>
      <c r="H201" s="236"/>
      <c r="I201" s="236"/>
      <c r="J201" s="236"/>
      <c r="K201" s="262"/>
    </row>
    <row r="202" spans="2:11" ht="15" customHeight="1">
      <c r="B202" s="241"/>
      <c r="C202" s="218" t="s">
        <v>1973</v>
      </c>
      <c r="D202" s="218"/>
      <c r="E202" s="218"/>
      <c r="F202" s="239" t="s">
        <v>47</v>
      </c>
      <c r="G202" s="218"/>
      <c r="H202" s="566" t="s">
        <v>1984</v>
      </c>
      <c r="I202" s="566"/>
      <c r="J202" s="566"/>
      <c r="K202" s="262"/>
    </row>
    <row r="203" spans="2:11" ht="15" customHeight="1">
      <c r="B203" s="241"/>
      <c r="C203" s="218"/>
      <c r="D203" s="218"/>
      <c r="E203" s="218"/>
      <c r="F203" s="239" t="s">
        <v>48</v>
      </c>
      <c r="G203" s="218"/>
      <c r="H203" s="566" t="s">
        <v>1985</v>
      </c>
      <c r="I203" s="566"/>
      <c r="J203" s="566"/>
      <c r="K203" s="262"/>
    </row>
    <row r="204" spans="2:11" ht="15" customHeight="1">
      <c r="B204" s="241"/>
      <c r="C204" s="218"/>
      <c r="D204" s="218"/>
      <c r="E204" s="218"/>
      <c r="F204" s="239" t="s">
        <v>51</v>
      </c>
      <c r="G204" s="218"/>
      <c r="H204" s="566" t="s">
        <v>1986</v>
      </c>
      <c r="I204" s="566"/>
      <c r="J204" s="566"/>
      <c r="K204" s="262"/>
    </row>
    <row r="205" spans="2:11" ht="15" customHeight="1">
      <c r="B205" s="241"/>
      <c r="C205" s="218"/>
      <c r="D205" s="218"/>
      <c r="E205" s="218"/>
      <c r="F205" s="239" t="s">
        <v>49</v>
      </c>
      <c r="G205" s="218"/>
      <c r="H205" s="566" t="s">
        <v>1987</v>
      </c>
      <c r="I205" s="566"/>
      <c r="J205" s="566"/>
      <c r="K205" s="262"/>
    </row>
    <row r="206" spans="2:11" ht="15" customHeight="1">
      <c r="B206" s="241"/>
      <c r="C206" s="218"/>
      <c r="D206" s="218"/>
      <c r="E206" s="218"/>
      <c r="F206" s="239" t="s">
        <v>50</v>
      </c>
      <c r="G206" s="218"/>
      <c r="H206" s="566" t="s">
        <v>1988</v>
      </c>
      <c r="I206" s="566"/>
      <c r="J206" s="566"/>
      <c r="K206" s="262"/>
    </row>
    <row r="207" spans="2:1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2"/>
    </row>
    <row r="208" spans="2:11" ht="15" customHeight="1">
      <c r="B208" s="241"/>
      <c r="C208" s="218" t="s">
        <v>1929</v>
      </c>
      <c r="D208" s="218"/>
      <c r="E208" s="218"/>
      <c r="F208" s="239" t="s">
        <v>83</v>
      </c>
      <c r="G208" s="218"/>
      <c r="H208" s="566" t="s">
        <v>1989</v>
      </c>
      <c r="I208" s="566"/>
      <c r="J208" s="566"/>
      <c r="K208" s="262"/>
    </row>
    <row r="209" spans="2:11" ht="15" customHeight="1">
      <c r="B209" s="241"/>
      <c r="C209" s="218"/>
      <c r="D209" s="218"/>
      <c r="E209" s="218"/>
      <c r="F209" s="239" t="s">
        <v>1824</v>
      </c>
      <c r="G209" s="218"/>
      <c r="H209" s="566" t="s">
        <v>1825</v>
      </c>
      <c r="I209" s="566"/>
      <c r="J209" s="566"/>
      <c r="K209" s="262"/>
    </row>
    <row r="210" spans="2:11" ht="15" customHeight="1">
      <c r="B210" s="241"/>
      <c r="C210" s="218"/>
      <c r="D210" s="218"/>
      <c r="E210" s="218"/>
      <c r="F210" s="239" t="s">
        <v>1822</v>
      </c>
      <c r="G210" s="218"/>
      <c r="H210" s="566" t="s">
        <v>1990</v>
      </c>
      <c r="I210" s="566"/>
      <c r="J210" s="566"/>
      <c r="K210" s="262"/>
    </row>
    <row r="211" spans="2:11" ht="15" customHeight="1">
      <c r="B211" s="280"/>
      <c r="C211" s="218"/>
      <c r="D211" s="218"/>
      <c r="E211" s="218"/>
      <c r="F211" s="239" t="s">
        <v>1826</v>
      </c>
      <c r="G211" s="275"/>
      <c r="H211" s="567" t="s">
        <v>1827</v>
      </c>
      <c r="I211" s="567"/>
      <c r="J211" s="567"/>
      <c r="K211" s="281"/>
    </row>
    <row r="212" spans="2:11" ht="15" customHeight="1">
      <c r="B212" s="280"/>
      <c r="C212" s="218"/>
      <c r="D212" s="218"/>
      <c r="E212" s="218"/>
      <c r="F212" s="239" t="s">
        <v>1828</v>
      </c>
      <c r="G212" s="275"/>
      <c r="H212" s="567" t="s">
        <v>220</v>
      </c>
      <c r="I212" s="567"/>
      <c r="J212" s="567"/>
      <c r="K212" s="281"/>
    </row>
    <row r="213" spans="2:11" ht="15" customHeight="1">
      <c r="B213" s="280"/>
      <c r="C213" s="218"/>
      <c r="D213" s="218"/>
      <c r="E213" s="218"/>
      <c r="F213" s="239"/>
      <c r="G213" s="275"/>
      <c r="H213" s="266"/>
      <c r="I213" s="266"/>
      <c r="J213" s="266"/>
      <c r="K213" s="281"/>
    </row>
    <row r="214" spans="2:11" ht="15" customHeight="1">
      <c r="B214" s="280"/>
      <c r="C214" s="218" t="s">
        <v>1953</v>
      </c>
      <c r="D214" s="218"/>
      <c r="E214" s="218"/>
      <c r="F214" s="239">
        <v>1</v>
      </c>
      <c r="G214" s="275"/>
      <c r="H214" s="567" t="s">
        <v>1991</v>
      </c>
      <c r="I214" s="567"/>
      <c r="J214" s="567"/>
      <c r="K214" s="281"/>
    </row>
    <row r="215" spans="2:11" ht="15" customHeight="1">
      <c r="B215" s="280"/>
      <c r="C215" s="218"/>
      <c r="D215" s="218"/>
      <c r="E215" s="218"/>
      <c r="F215" s="239">
        <v>2</v>
      </c>
      <c r="G215" s="275"/>
      <c r="H215" s="567" t="s">
        <v>1992</v>
      </c>
      <c r="I215" s="567"/>
      <c r="J215" s="567"/>
      <c r="K215" s="281"/>
    </row>
    <row r="216" spans="2:11" ht="15" customHeight="1">
      <c r="B216" s="280"/>
      <c r="C216" s="218"/>
      <c r="D216" s="218"/>
      <c r="E216" s="218"/>
      <c r="F216" s="239">
        <v>3</v>
      </c>
      <c r="G216" s="275"/>
      <c r="H216" s="567" t="s">
        <v>1993</v>
      </c>
      <c r="I216" s="567"/>
      <c r="J216" s="567"/>
      <c r="K216" s="281"/>
    </row>
    <row r="217" spans="2:11" ht="15" customHeight="1">
      <c r="B217" s="280"/>
      <c r="C217" s="218"/>
      <c r="D217" s="218"/>
      <c r="E217" s="218"/>
      <c r="F217" s="239">
        <v>4</v>
      </c>
      <c r="G217" s="275"/>
      <c r="H217" s="567" t="s">
        <v>1994</v>
      </c>
      <c r="I217" s="567"/>
      <c r="J217" s="567"/>
      <c r="K217" s="281"/>
    </row>
    <row r="218" spans="2:11" ht="12.75" customHeight="1">
      <c r="B218" s="282"/>
      <c r="C218" s="283"/>
      <c r="D218" s="283"/>
      <c r="E218" s="283"/>
      <c r="F218" s="283"/>
      <c r="G218" s="283"/>
      <c r="H218" s="283"/>
      <c r="I218" s="283"/>
      <c r="J218" s="283"/>
      <c r="K218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AT2" s="18" t="s">
        <v>85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89" t="s">
        <v>119</v>
      </c>
      <c r="F9" s="495"/>
      <c r="G9" s="495"/>
      <c r="H9" s="495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66"/>
      <c r="G18" s="466"/>
      <c r="H18" s="46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71" t="s">
        <v>19</v>
      </c>
      <c r="F27" s="471"/>
      <c r="G27" s="471"/>
      <c r="H27" s="471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ROUND(J84,2)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ROUND((SUM(BE84:BE123)),2)</f>
        <v>0</v>
      </c>
      <c r="I33" s="90">
        <v>0.21</v>
      </c>
      <c r="J33" s="89">
        <f>ROUND(((SUM(BE84:BE123))*I33),2)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ROUND((SUM(BF84:BF123)),2)</f>
        <v>0</v>
      </c>
      <c r="I34" s="90">
        <v>0.15</v>
      </c>
      <c r="J34" s="89">
        <f>ROUND(((SUM(BF84:BF123))*I34),2)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ROUND((SUM(BG84:BG123)),2)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ROUND((SUM(BH84:BH123)),2)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ROUND((SUM(BI84:BI123)),2)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89" t="str">
        <f>E9</f>
        <v>SO 001 - Vedlejší rozpočtové náklady</v>
      </c>
      <c r="F50" s="495"/>
      <c r="G50" s="495"/>
      <c r="H50" s="495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J84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124</v>
      </c>
      <c r="E60" s="102"/>
      <c r="F60" s="102"/>
      <c r="G60" s="102"/>
      <c r="H60" s="102"/>
      <c r="I60" s="102"/>
      <c r="J60" s="103">
        <f>J85</f>
        <v>0</v>
      </c>
      <c r="L60" s="100"/>
    </row>
    <row r="61" spans="2:12" s="9" customFormat="1" ht="19.95" customHeight="1">
      <c r="B61" s="104"/>
      <c r="D61" s="105" t="s">
        <v>125</v>
      </c>
      <c r="E61" s="106"/>
      <c r="F61" s="106"/>
      <c r="G61" s="106"/>
      <c r="H61" s="106"/>
      <c r="I61" s="106"/>
      <c r="J61" s="107">
        <f>J86</f>
        <v>0</v>
      </c>
      <c r="L61" s="104"/>
    </row>
    <row r="62" spans="2:12" s="9" customFormat="1" ht="19.95" customHeight="1">
      <c r="B62" s="104"/>
      <c r="D62" s="105" t="s">
        <v>126</v>
      </c>
      <c r="E62" s="106"/>
      <c r="F62" s="106"/>
      <c r="G62" s="106"/>
      <c r="H62" s="106"/>
      <c r="I62" s="106"/>
      <c r="J62" s="107">
        <f>J102</f>
        <v>0</v>
      </c>
      <c r="L62" s="104"/>
    </row>
    <row r="63" spans="2:12" s="9" customFormat="1" ht="19.95" customHeight="1">
      <c r="B63" s="104"/>
      <c r="D63" s="105" t="s">
        <v>127</v>
      </c>
      <c r="E63" s="106"/>
      <c r="F63" s="106"/>
      <c r="G63" s="106"/>
      <c r="H63" s="106"/>
      <c r="I63" s="106"/>
      <c r="J63" s="107">
        <f>J114</f>
        <v>0</v>
      </c>
      <c r="L63" s="104"/>
    </row>
    <row r="64" spans="2:12" s="9" customFormat="1" ht="19.95" customHeight="1">
      <c r="B64" s="104"/>
      <c r="D64" s="105" t="s">
        <v>128</v>
      </c>
      <c r="E64" s="106"/>
      <c r="F64" s="106"/>
      <c r="G64" s="106"/>
      <c r="H64" s="106"/>
      <c r="I64" s="106"/>
      <c r="J64" s="107">
        <f>J120</f>
        <v>0</v>
      </c>
      <c r="L64" s="104"/>
    </row>
    <row r="65" spans="2:12" s="1" customFormat="1" ht="21.75" customHeight="1">
      <c r="B65" s="33"/>
      <c r="L65" s="33"/>
    </row>
    <row r="66" spans="2:12" s="1" customFormat="1" ht="6.9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3"/>
    </row>
    <row r="70" spans="2:12" s="1" customFormat="1" ht="6.9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33"/>
    </row>
    <row r="71" spans="2:12" s="1" customFormat="1" ht="24.9" customHeight="1">
      <c r="B71" s="33"/>
      <c r="C71" s="22" t="s">
        <v>129</v>
      </c>
      <c r="L71" s="33"/>
    </row>
    <row r="72" spans="2:12" s="1" customFormat="1" ht="6.9" customHeight="1">
      <c r="B72" s="33"/>
      <c r="L72" s="33"/>
    </row>
    <row r="73" spans="2:12" s="1" customFormat="1" ht="12" customHeight="1">
      <c r="B73" s="33"/>
      <c r="C73" s="28" t="s">
        <v>16</v>
      </c>
      <c r="L73" s="33"/>
    </row>
    <row r="74" spans="2:12" s="1" customFormat="1" ht="27" customHeight="1">
      <c r="B74" s="33"/>
      <c r="E74" s="496" t="str">
        <f>E7</f>
        <v>REGENERACE PANELOVÉHO SÍDLIŠTĚ PRIEVIDZSKÁ - 7.ETAPA</v>
      </c>
      <c r="F74" s="497"/>
      <c r="G74" s="497"/>
      <c r="H74" s="497"/>
      <c r="L74" s="33"/>
    </row>
    <row r="75" spans="2:12" s="1" customFormat="1" ht="12" customHeight="1">
      <c r="B75" s="33"/>
      <c r="C75" s="28" t="s">
        <v>118</v>
      </c>
      <c r="L75" s="33"/>
    </row>
    <row r="76" spans="2:12" s="1" customFormat="1" ht="15" customHeight="1">
      <c r="B76" s="33"/>
      <c r="E76" s="489" t="str">
        <f>E9</f>
        <v>SO 001 - Vedlejší rozpočtové náklady</v>
      </c>
      <c r="F76" s="495"/>
      <c r="G76" s="495"/>
      <c r="H76" s="495"/>
      <c r="L76" s="33"/>
    </row>
    <row r="77" spans="2:12" s="1" customFormat="1" ht="6.9" customHeight="1">
      <c r="B77" s="33"/>
      <c r="L77" s="33"/>
    </row>
    <row r="78" spans="2:12" s="1" customFormat="1" ht="12" customHeight="1">
      <c r="B78" s="33"/>
      <c r="C78" s="28" t="s">
        <v>21</v>
      </c>
      <c r="F78" s="26" t="str">
        <f>F12</f>
        <v xml:space="preserve"> </v>
      </c>
      <c r="I78" s="28" t="s">
        <v>23</v>
      </c>
      <c r="J78" s="50" t="str">
        <f>IF(J12="","",J12)</f>
        <v>22. 10. 2022</v>
      </c>
      <c r="L78" s="33"/>
    </row>
    <row r="79" spans="2:12" s="1" customFormat="1" ht="6.9" customHeight="1">
      <c r="B79" s="33"/>
      <c r="L79" s="33"/>
    </row>
    <row r="80" spans="2:12" s="1" customFormat="1" ht="14.85" customHeight="1">
      <c r="B80" s="33"/>
      <c r="C80" s="28" t="s">
        <v>25</v>
      </c>
      <c r="F80" s="26" t="str">
        <f>E15</f>
        <v>Město Šumperk</v>
      </c>
      <c r="I80" s="28" t="s">
        <v>33</v>
      </c>
      <c r="J80" s="31" t="str">
        <f>E21</f>
        <v>Ateliér DPK, s.r.o.</v>
      </c>
      <c r="L80" s="33"/>
    </row>
    <row r="81" spans="2:12" s="1" customFormat="1" ht="14.85" customHeight="1">
      <c r="B81" s="33"/>
      <c r="C81" s="28" t="s">
        <v>31</v>
      </c>
      <c r="F81" s="26" t="str">
        <f>IF(E18="","",E18)</f>
        <v>Vyplň údaj</v>
      </c>
      <c r="I81" s="28" t="s">
        <v>38</v>
      </c>
      <c r="J81" s="31" t="str">
        <f>E24</f>
        <v xml:space="preserve"> </v>
      </c>
      <c r="L81" s="33"/>
    </row>
    <row r="82" spans="2:12" s="1" customFormat="1" ht="10.35" customHeight="1">
      <c r="B82" s="33"/>
      <c r="L82" s="33"/>
    </row>
    <row r="83" spans="2:20" s="10" customFormat="1" ht="29.25" customHeight="1">
      <c r="B83" s="108"/>
      <c r="C83" s="109" t="s">
        <v>130</v>
      </c>
      <c r="D83" s="110" t="s">
        <v>61</v>
      </c>
      <c r="E83" s="110" t="s">
        <v>57</v>
      </c>
      <c r="F83" s="110" t="s">
        <v>58</v>
      </c>
      <c r="G83" s="110" t="s">
        <v>131</v>
      </c>
      <c r="H83" s="110" t="s">
        <v>132</v>
      </c>
      <c r="I83" s="110" t="s">
        <v>133</v>
      </c>
      <c r="J83" s="110" t="s">
        <v>122</v>
      </c>
      <c r="K83" s="111" t="s">
        <v>134</v>
      </c>
      <c r="L83" s="108"/>
      <c r="M83" s="57" t="s">
        <v>19</v>
      </c>
      <c r="N83" s="58" t="s">
        <v>46</v>
      </c>
      <c r="O83" s="58" t="s">
        <v>135</v>
      </c>
      <c r="P83" s="58" t="s">
        <v>136</v>
      </c>
      <c r="Q83" s="58" t="s">
        <v>137</v>
      </c>
      <c r="R83" s="58" t="s">
        <v>138</v>
      </c>
      <c r="S83" s="58" t="s">
        <v>139</v>
      </c>
      <c r="T83" s="59" t="s">
        <v>140</v>
      </c>
    </row>
    <row r="84" spans="2:63" s="1" customFormat="1" ht="22.8" customHeight="1">
      <c r="B84" s="33"/>
      <c r="C84" s="62" t="s">
        <v>141</v>
      </c>
      <c r="J84" s="112">
        <f>BK84</f>
        <v>0</v>
      </c>
      <c r="L84" s="33"/>
      <c r="M84" s="60"/>
      <c r="N84" s="51"/>
      <c r="O84" s="51"/>
      <c r="P84" s="113">
        <f>P85</f>
        <v>0</v>
      </c>
      <c r="Q84" s="51"/>
      <c r="R84" s="113">
        <f>R85</f>
        <v>0</v>
      </c>
      <c r="S84" s="51"/>
      <c r="T84" s="114">
        <f>T85</f>
        <v>0</v>
      </c>
      <c r="AT84" s="18" t="s">
        <v>75</v>
      </c>
      <c r="AU84" s="18" t="s">
        <v>123</v>
      </c>
      <c r="BK84" s="115">
        <f>BK85</f>
        <v>0</v>
      </c>
    </row>
    <row r="85" spans="2:63" s="11" customFormat="1" ht="25.8" customHeight="1">
      <c r="B85" s="116"/>
      <c r="D85" s="117" t="s">
        <v>75</v>
      </c>
      <c r="E85" s="118" t="s">
        <v>142</v>
      </c>
      <c r="F85" s="118" t="s">
        <v>82</v>
      </c>
      <c r="I85" s="119"/>
      <c r="J85" s="120">
        <f>BK85</f>
        <v>0</v>
      </c>
      <c r="L85" s="116"/>
      <c r="M85" s="121"/>
      <c r="P85" s="122">
        <f>P86+P102+P114+P120</f>
        <v>0</v>
      </c>
      <c r="R85" s="122">
        <f>R86+R102+R114+R120</f>
        <v>0</v>
      </c>
      <c r="T85" s="123">
        <f>T86+T102+T114+T120</f>
        <v>0</v>
      </c>
      <c r="AR85" s="117" t="s">
        <v>143</v>
      </c>
      <c r="AT85" s="124" t="s">
        <v>75</v>
      </c>
      <c r="AU85" s="124" t="s">
        <v>76</v>
      </c>
      <c r="AY85" s="117" t="s">
        <v>144</v>
      </c>
      <c r="BK85" s="125">
        <f>BK86+BK102+BK114+BK120</f>
        <v>0</v>
      </c>
    </row>
    <row r="86" spans="2:63" s="11" customFormat="1" ht="22.8" customHeight="1">
      <c r="B86" s="116"/>
      <c r="D86" s="117" t="s">
        <v>75</v>
      </c>
      <c r="E86" s="126" t="s">
        <v>145</v>
      </c>
      <c r="F86" s="126" t="s">
        <v>146</v>
      </c>
      <c r="I86" s="119"/>
      <c r="J86" s="127">
        <f>BK86</f>
        <v>0</v>
      </c>
      <c r="L86" s="116"/>
      <c r="M86" s="121"/>
      <c r="P86" s="122">
        <f>SUM(P87:P101)</f>
        <v>0</v>
      </c>
      <c r="R86" s="122">
        <f>SUM(R87:R101)</f>
        <v>0</v>
      </c>
      <c r="T86" s="123">
        <f>SUM(T87:T101)</f>
        <v>0</v>
      </c>
      <c r="AR86" s="117" t="s">
        <v>143</v>
      </c>
      <c r="AT86" s="124" t="s">
        <v>75</v>
      </c>
      <c r="AU86" s="124" t="s">
        <v>84</v>
      </c>
      <c r="AY86" s="117" t="s">
        <v>144</v>
      </c>
      <c r="BK86" s="125">
        <f>SUM(BK87:BK101)</f>
        <v>0</v>
      </c>
    </row>
    <row r="87" spans="2:65" s="1" customFormat="1" ht="15" customHeight="1">
      <c r="B87" s="33"/>
      <c r="C87" s="128" t="s">
        <v>84</v>
      </c>
      <c r="D87" s="128" t="s">
        <v>147</v>
      </c>
      <c r="E87" s="129" t="s">
        <v>148</v>
      </c>
      <c r="F87" s="130" t="s">
        <v>149</v>
      </c>
      <c r="G87" s="131" t="s">
        <v>150</v>
      </c>
      <c r="H87" s="132">
        <v>1</v>
      </c>
      <c r="I87" s="133"/>
      <c r="J87" s="134">
        <f>ROUND(I87*H87,2)</f>
        <v>0</v>
      </c>
      <c r="K87" s="130" t="s">
        <v>151</v>
      </c>
      <c r="L87" s="33"/>
      <c r="M87" s="135" t="s">
        <v>19</v>
      </c>
      <c r="N87" s="136" t="s">
        <v>47</v>
      </c>
      <c r="P87" s="137">
        <f>O87*H87</f>
        <v>0</v>
      </c>
      <c r="Q87" s="137">
        <v>0</v>
      </c>
      <c r="R87" s="137">
        <f>Q87*H87</f>
        <v>0</v>
      </c>
      <c r="S87" s="137">
        <v>0</v>
      </c>
      <c r="T87" s="138">
        <f>S87*H87</f>
        <v>0</v>
      </c>
      <c r="AR87" s="139" t="s">
        <v>152</v>
      </c>
      <c r="AT87" s="139" t="s">
        <v>147</v>
      </c>
      <c r="AU87" s="139" t="s">
        <v>86</v>
      </c>
      <c r="AY87" s="18" t="s">
        <v>144</v>
      </c>
      <c r="BE87" s="140">
        <f>IF(N87="základní",J87,0)</f>
        <v>0</v>
      </c>
      <c r="BF87" s="140">
        <f>IF(N87="snížená",J87,0)</f>
        <v>0</v>
      </c>
      <c r="BG87" s="140">
        <f>IF(N87="zákl. přenesená",J87,0)</f>
        <v>0</v>
      </c>
      <c r="BH87" s="140">
        <f>IF(N87="sníž. přenesená",J87,0)</f>
        <v>0</v>
      </c>
      <c r="BI87" s="140">
        <f>IF(N87="nulová",J87,0)</f>
        <v>0</v>
      </c>
      <c r="BJ87" s="18" t="s">
        <v>84</v>
      </c>
      <c r="BK87" s="140">
        <f>ROUND(I87*H87,2)</f>
        <v>0</v>
      </c>
      <c r="BL87" s="18" t="s">
        <v>152</v>
      </c>
      <c r="BM87" s="139" t="s">
        <v>153</v>
      </c>
    </row>
    <row r="88" spans="2:47" s="1" customFormat="1" ht="12">
      <c r="B88" s="33"/>
      <c r="D88" s="141" t="s">
        <v>154</v>
      </c>
      <c r="F88" s="142" t="s">
        <v>155</v>
      </c>
      <c r="I88" s="143"/>
      <c r="L88" s="33"/>
      <c r="M88" s="144"/>
      <c r="T88" s="54"/>
      <c r="AT88" s="18" t="s">
        <v>154</v>
      </c>
      <c r="AU88" s="18" t="s">
        <v>86</v>
      </c>
    </row>
    <row r="89" spans="2:47" s="1" customFormat="1" ht="19.2">
      <c r="B89" s="33"/>
      <c r="D89" s="145" t="s">
        <v>156</v>
      </c>
      <c r="F89" s="146" t="s">
        <v>157</v>
      </c>
      <c r="I89" s="143"/>
      <c r="L89" s="33"/>
      <c r="M89" s="144"/>
      <c r="T89" s="54"/>
      <c r="AT89" s="18" t="s">
        <v>156</v>
      </c>
      <c r="AU89" s="18" t="s">
        <v>86</v>
      </c>
    </row>
    <row r="90" spans="2:65" s="1" customFormat="1" ht="15" customHeight="1">
      <c r="B90" s="33"/>
      <c r="C90" s="128" t="s">
        <v>86</v>
      </c>
      <c r="D90" s="128" t="s">
        <v>147</v>
      </c>
      <c r="E90" s="129" t="s">
        <v>158</v>
      </c>
      <c r="F90" s="130" t="s">
        <v>159</v>
      </c>
      <c r="G90" s="131" t="s">
        <v>150</v>
      </c>
      <c r="H90" s="132">
        <v>1</v>
      </c>
      <c r="I90" s="133"/>
      <c r="J90" s="134">
        <f>ROUND(I90*H90,2)</f>
        <v>0</v>
      </c>
      <c r="K90" s="130" t="s">
        <v>19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152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152</v>
      </c>
      <c r="BM90" s="139" t="s">
        <v>160</v>
      </c>
    </row>
    <row r="91" spans="2:47" s="1" customFormat="1" ht="19.2">
      <c r="B91" s="33"/>
      <c r="D91" s="145" t="s">
        <v>156</v>
      </c>
      <c r="F91" s="146" t="s">
        <v>161</v>
      </c>
      <c r="I91" s="143"/>
      <c r="L91" s="33"/>
      <c r="M91" s="144"/>
      <c r="T91" s="54"/>
      <c r="AT91" s="18" t="s">
        <v>156</v>
      </c>
      <c r="AU91" s="18" t="s">
        <v>86</v>
      </c>
    </row>
    <row r="92" spans="2:65" s="1" customFormat="1" ht="15" customHeight="1">
      <c r="B92" s="33"/>
      <c r="C92" s="128" t="s">
        <v>162</v>
      </c>
      <c r="D92" s="128" t="s">
        <v>147</v>
      </c>
      <c r="E92" s="129" t="s">
        <v>163</v>
      </c>
      <c r="F92" s="130" t="s">
        <v>159</v>
      </c>
      <c r="G92" s="131" t="s">
        <v>150</v>
      </c>
      <c r="H92" s="132">
        <v>1</v>
      </c>
      <c r="I92" s="133"/>
      <c r="J92" s="134">
        <f>ROUND(I92*H92,2)</f>
        <v>0</v>
      </c>
      <c r="K92" s="130" t="s">
        <v>19</v>
      </c>
      <c r="L92" s="33"/>
      <c r="M92" s="135" t="s">
        <v>19</v>
      </c>
      <c r="N92" s="136" t="s">
        <v>47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152</v>
      </c>
      <c r="AT92" s="139" t="s">
        <v>147</v>
      </c>
      <c r="AU92" s="139" t="s">
        <v>86</v>
      </c>
      <c r="AY92" s="18" t="s">
        <v>144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84</v>
      </c>
      <c r="BK92" s="140">
        <f>ROUND(I92*H92,2)</f>
        <v>0</v>
      </c>
      <c r="BL92" s="18" t="s">
        <v>152</v>
      </c>
      <c r="BM92" s="139" t="s">
        <v>164</v>
      </c>
    </row>
    <row r="93" spans="2:47" s="1" customFormat="1" ht="19.2">
      <c r="B93" s="33"/>
      <c r="D93" s="145" t="s">
        <v>156</v>
      </c>
      <c r="F93" s="146" t="s">
        <v>165</v>
      </c>
      <c r="I93" s="143"/>
      <c r="L93" s="33"/>
      <c r="M93" s="144"/>
      <c r="T93" s="54"/>
      <c r="AT93" s="18" t="s">
        <v>156</v>
      </c>
      <c r="AU93" s="18" t="s">
        <v>86</v>
      </c>
    </row>
    <row r="94" spans="2:65" s="1" customFormat="1" ht="15" customHeight="1">
      <c r="B94" s="33"/>
      <c r="C94" s="128" t="s">
        <v>166</v>
      </c>
      <c r="D94" s="128" t="s">
        <v>147</v>
      </c>
      <c r="E94" s="129" t="s">
        <v>167</v>
      </c>
      <c r="F94" s="130" t="s">
        <v>168</v>
      </c>
      <c r="G94" s="131" t="s">
        <v>150</v>
      </c>
      <c r="H94" s="132">
        <v>1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152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152</v>
      </c>
      <c r="BM94" s="139" t="s">
        <v>169</v>
      </c>
    </row>
    <row r="95" spans="2:47" s="1" customFormat="1" ht="12">
      <c r="B95" s="33"/>
      <c r="D95" s="141" t="s">
        <v>154</v>
      </c>
      <c r="F95" s="142" t="s">
        <v>170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47" s="1" customFormat="1" ht="19.2">
      <c r="B96" s="33"/>
      <c r="D96" s="145" t="s">
        <v>156</v>
      </c>
      <c r="F96" s="146" t="s">
        <v>171</v>
      </c>
      <c r="I96" s="143"/>
      <c r="L96" s="33"/>
      <c r="M96" s="144"/>
      <c r="T96" s="54"/>
      <c r="AT96" s="18" t="s">
        <v>156</v>
      </c>
      <c r="AU96" s="18" t="s">
        <v>86</v>
      </c>
    </row>
    <row r="97" spans="2:65" s="1" customFormat="1" ht="15" customHeight="1">
      <c r="B97" s="33"/>
      <c r="C97" s="128" t="s">
        <v>143</v>
      </c>
      <c r="D97" s="128" t="s">
        <v>147</v>
      </c>
      <c r="E97" s="129" t="s">
        <v>172</v>
      </c>
      <c r="F97" s="130" t="s">
        <v>173</v>
      </c>
      <c r="G97" s="131" t="s">
        <v>150</v>
      </c>
      <c r="H97" s="132">
        <v>1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152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152</v>
      </c>
      <c r="BM97" s="139" t="s">
        <v>174</v>
      </c>
    </row>
    <row r="98" spans="2:47" s="1" customFormat="1" ht="12">
      <c r="B98" s="33"/>
      <c r="D98" s="141" t="s">
        <v>154</v>
      </c>
      <c r="F98" s="142" t="s">
        <v>175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47" s="1" customFormat="1" ht="28.8">
      <c r="B99" s="33"/>
      <c r="D99" s="145" t="s">
        <v>156</v>
      </c>
      <c r="F99" s="146" t="s">
        <v>176</v>
      </c>
      <c r="I99" s="143"/>
      <c r="L99" s="33"/>
      <c r="M99" s="144"/>
      <c r="T99" s="54"/>
      <c r="AT99" s="18" t="s">
        <v>156</v>
      </c>
      <c r="AU99" s="18" t="s">
        <v>86</v>
      </c>
    </row>
    <row r="100" spans="2:65" s="1" customFormat="1" ht="15" customHeight="1">
      <c r="B100" s="33"/>
      <c r="C100" s="128" t="s">
        <v>177</v>
      </c>
      <c r="D100" s="128" t="s">
        <v>147</v>
      </c>
      <c r="E100" s="129" t="s">
        <v>178</v>
      </c>
      <c r="F100" s="130" t="s">
        <v>179</v>
      </c>
      <c r="G100" s="131" t="s">
        <v>150</v>
      </c>
      <c r="H100" s="132">
        <v>1</v>
      </c>
      <c r="I100" s="133"/>
      <c r="J100" s="134">
        <f>ROUND(I100*H100,2)</f>
        <v>0</v>
      </c>
      <c r="K100" s="130" t="s">
        <v>151</v>
      </c>
      <c r="L100" s="33"/>
      <c r="M100" s="135" t="s">
        <v>19</v>
      </c>
      <c r="N100" s="136" t="s">
        <v>47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152</v>
      </c>
      <c r="AT100" s="139" t="s">
        <v>147</v>
      </c>
      <c r="AU100" s="139" t="s">
        <v>86</v>
      </c>
      <c r="AY100" s="18" t="s">
        <v>144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8" t="s">
        <v>84</v>
      </c>
      <c r="BK100" s="140">
        <f>ROUND(I100*H100,2)</f>
        <v>0</v>
      </c>
      <c r="BL100" s="18" t="s">
        <v>152</v>
      </c>
      <c r="BM100" s="139" t="s">
        <v>180</v>
      </c>
    </row>
    <row r="101" spans="2:47" s="1" customFormat="1" ht="12">
      <c r="B101" s="33"/>
      <c r="D101" s="141" t="s">
        <v>154</v>
      </c>
      <c r="F101" s="142" t="s">
        <v>181</v>
      </c>
      <c r="I101" s="143"/>
      <c r="L101" s="33"/>
      <c r="M101" s="144"/>
      <c r="T101" s="54"/>
      <c r="AT101" s="18" t="s">
        <v>154</v>
      </c>
      <c r="AU101" s="18" t="s">
        <v>86</v>
      </c>
    </row>
    <row r="102" spans="2:63" s="11" customFormat="1" ht="22.8" customHeight="1">
      <c r="B102" s="116"/>
      <c r="D102" s="117" t="s">
        <v>75</v>
      </c>
      <c r="E102" s="126" t="s">
        <v>182</v>
      </c>
      <c r="F102" s="126" t="s">
        <v>183</v>
      </c>
      <c r="I102" s="119"/>
      <c r="J102" s="127">
        <f>BK102</f>
        <v>0</v>
      </c>
      <c r="L102" s="116"/>
      <c r="M102" s="121"/>
      <c r="P102" s="122">
        <f>SUM(P103:P113)</f>
        <v>0</v>
      </c>
      <c r="R102" s="122">
        <f>SUM(R103:R113)</f>
        <v>0</v>
      </c>
      <c r="T102" s="123">
        <f>SUM(T103:T113)</f>
        <v>0</v>
      </c>
      <c r="AR102" s="117" t="s">
        <v>143</v>
      </c>
      <c r="AT102" s="124" t="s">
        <v>75</v>
      </c>
      <c r="AU102" s="124" t="s">
        <v>84</v>
      </c>
      <c r="AY102" s="117" t="s">
        <v>144</v>
      </c>
      <c r="BK102" s="125">
        <f>SUM(BK103:BK113)</f>
        <v>0</v>
      </c>
    </row>
    <row r="103" spans="2:65" s="1" customFormat="1" ht="15" customHeight="1">
      <c r="B103" s="33"/>
      <c r="C103" s="128" t="s">
        <v>184</v>
      </c>
      <c r="D103" s="128" t="s">
        <v>147</v>
      </c>
      <c r="E103" s="129" t="s">
        <v>185</v>
      </c>
      <c r="F103" s="130" t="s">
        <v>183</v>
      </c>
      <c r="G103" s="131" t="s">
        <v>150</v>
      </c>
      <c r="H103" s="132">
        <v>1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152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152</v>
      </c>
      <c r="BM103" s="139" t="s">
        <v>186</v>
      </c>
    </row>
    <row r="104" spans="2:47" s="1" customFormat="1" ht="12">
      <c r="B104" s="33"/>
      <c r="D104" s="141" t="s">
        <v>154</v>
      </c>
      <c r="F104" s="142" t="s">
        <v>187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47" s="1" customFormat="1" ht="28.8">
      <c r="B105" s="33"/>
      <c r="D105" s="145" t="s">
        <v>156</v>
      </c>
      <c r="F105" s="146" t="s">
        <v>188</v>
      </c>
      <c r="I105" s="143"/>
      <c r="L105" s="33"/>
      <c r="M105" s="144"/>
      <c r="T105" s="54"/>
      <c r="AT105" s="18" t="s">
        <v>156</v>
      </c>
      <c r="AU105" s="18" t="s">
        <v>86</v>
      </c>
    </row>
    <row r="106" spans="2:65" s="1" customFormat="1" ht="15" customHeight="1">
      <c r="B106" s="33"/>
      <c r="C106" s="128" t="s">
        <v>189</v>
      </c>
      <c r="D106" s="128" t="s">
        <v>147</v>
      </c>
      <c r="E106" s="129" t="s">
        <v>190</v>
      </c>
      <c r="F106" s="130" t="s">
        <v>191</v>
      </c>
      <c r="G106" s="131" t="s">
        <v>150</v>
      </c>
      <c r="H106" s="132">
        <v>1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0</v>
      </c>
      <c r="R106" s="137">
        <f>Q106*H106</f>
        <v>0</v>
      </c>
      <c r="S106" s="137">
        <v>0</v>
      </c>
      <c r="T106" s="138">
        <f>S106*H106</f>
        <v>0</v>
      </c>
      <c r="AR106" s="139" t="s">
        <v>152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152</v>
      </c>
      <c r="BM106" s="139" t="s">
        <v>192</v>
      </c>
    </row>
    <row r="107" spans="2:47" s="1" customFormat="1" ht="12">
      <c r="B107" s="33"/>
      <c r="D107" s="141" t="s">
        <v>154</v>
      </c>
      <c r="F107" s="142" t="s">
        <v>193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47" s="1" customFormat="1" ht="28.8">
      <c r="B108" s="33"/>
      <c r="D108" s="145" t="s">
        <v>156</v>
      </c>
      <c r="F108" s="146" t="s">
        <v>194</v>
      </c>
      <c r="I108" s="143"/>
      <c r="L108" s="33"/>
      <c r="M108" s="144"/>
      <c r="T108" s="54"/>
      <c r="AT108" s="18" t="s">
        <v>156</v>
      </c>
      <c r="AU108" s="18" t="s">
        <v>86</v>
      </c>
    </row>
    <row r="109" spans="2:65" s="1" customFormat="1" ht="15" customHeight="1">
      <c r="B109" s="33"/>
      <c r="C109" s="128" t="s">
        <v>195</v>
      </c>
      <c r="D109" s="128" t="s">
        <v>147</v>
      </c>
      <c r="E109" s="129" t="s">
        <v>196</v>
      </c>
      <c r="F109" s="130" t="s">
        <v>197</v>
      </c>
      <c r="G109" s="131" t="s">
        <v>150</v>
      </c>
      <c r="H109" s="132">
        <v>1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152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152</v>
      </c>
      <c r="BM109" s="139" t="s">
        <v>198</v>
      </c>
    </row>
    <row r="110" spans="2:47" s="1" customFormat="1" ht="12">
      <c r="B110" s="33"/>
      <c r="D110" s="141" t="s">
        <v>154</v>
      </c>
      <c r="F110" s="142" t="s">
        <v>199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47" s="1" customFormat="1" ht="28.8">
      <c r="B111" s="33"/>
      <c r="D111" s="145" t="s">
        <v>156</v>
      </c>
      <c r="F111" s="146" t="s">
        <v>200</v>
      </c>
      <c r="I111" s="143"/>
      <c r="L111" s="33"/>
      <c r="M111" s="144"/>
      <c r="T111" s="54"/>
      <c r="AT111" s="18" t="s">
        <v>156</v>
      </c>
      <c r="AU111" s="18" t="s">
        <v>86</v>
      </c>
    </row>
    <row r="112" spans="2:65" s="1" customFormat="1" ht="15" customHeight="1">
      <c r="B112" s="33"/>
      <c r="C112" s="128" t="s">
        <v>201</v>
      </c>
      <c r="D112" s="128" t="s">
        <v>147</v>
      </c>
      <c r="E112" s="129" t="s">
        <v>202</v>
      </c>
      <c r="F112" s="130" t="s">
        <v>203</v>
      </c>
      <c r="G112" s="131" t="s">
        <v>150</v>
      </c>
      <c r="H112" s="132">
        <v>2</v>
      </c>
      <c r="I112" s="133"/>
      <c r="J112" s="134">
        <f>ROUND(I112*H112,2)</f>
        <v>0</v>
      </c>
      <c r="K112" s="130" t="s">
        <v>151</v>
      </c>
      <c r="L112" s="33"/>
      <c r="M112" s="135" t="s">
        <v>19</v>
      </c>
      <c r="N112" s="136" t="s">
        <v>47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152</v>
      </c>
      <c r="AT112" s="139" t="s">
        <v>147</v>
      </c>
      <c r="AU112" s="139" t="s">
        <v>86</v>
      </c>
      <c r="AY112" s="18" t="s">
        <v>144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84</v>
      </c>
      <c r="BK112" s="140">
        <f>ROUND(I112*H112,2)</f>
        <v>0</v>
      </c>
      <c r="BL112" s="18" t="s">
        <v>152</v>
      </c>
      <c r="BM112" s="139" t="s">
        <v>204</v>
      </c>
    </row>
    <row r="113" spans="2:47" s="1" customFormat="1" ht="12">
      <c r="B113" s="33"/>
      <c r="D113" s="141" t="s">
        <v>154</v>
      </c>
      <c r="F113" s="142" t="s">
        <v>205</v>
      </c>
      <c r="I113" s="143"/>
      <c r="L113" s="33"/>
      <c r="M113" s="144"/>
      <c r="T113" s="54"/>
      <c r="AT113" s="18" t="s">
        <v>154</v>
      </c>
      <c r="AU113" s="18" t="s">
        <v>86</v>
      </c>
    </row>
    <row r="114" spans="2:63" s="11" customFormat="1" ht="22.8" customHeight="1">
      <c r="B114" s="116"/>
      <c r="D114" s="117" t="s">
        <v>75</v>
      </c>
      <c r="E114" s="126" t="s">
        <v>206</v>
      </c>
      <c r="F114" s="126" t="s">
        <v>207</v>
      </c>
      <c r="I114" s="119"/>
      <c r="J114" s="127">
        <f>BK114</f>
        <v>0</v>
      </c>
      <c r="L114" s="116"/>
      <c r="M114" s="121"/>
      <c r="P114" s="122">
        <f>SUM(P115:P119)</f>
        <v>0</v>
      </c>
      <c r="R114" s="122">
        <f>SUM(R115:R119)</f>
        <v>0</v>
      </c>
      <c r="T114" s="123">
        <f>SUM(T115:T119)</f>
        <v>0</v>
      </c>
      <c r="AR114" s="117" t="s">
        <v>143</v>
      </c>
      <c r="AT114" s="124" t="s">
        <v>75</v>
      </c>
      <c r="AU114" s="124" t="s">
        <v>84</v>
      </c>
      <c r="AY114" s="117" t="s">
        <v>144</v>
      </c>
      <c r="BK114" s="125">
        <f>SUM(BK115:BK119)</f>
        <v>0</v>
      </c>
    </row>
    <row r="115" spans="2:65" s="1" customFormat="1" ht="15" customHeight="1">
      <c r="B115" s="33"/>
      <c r="C115" s="128" t="s">
        <v>208</v>
      </c>
      <c r="D115" s="128" t="s">
        <v>147</v>
      </c>
      <c r="E115" s="129" t="s">
        <v>209</v>
      </c>
      <c r="F115" s="130" t="s">
        <v>210</v>
      </c>
      <c r="G115" s="131" t="s">
        <v>150</v>
      </c>
      <c r="H115" s="132">
        <v>1</v>
      </c>
      <c r="I115" s="133"/>
      <c r="J115" s="134">
        <f>ROUND(I115*H115,2)</f>
        <v>0</v>
      </c>
      <c r="K115" s="130" t="s">
        <v>151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152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152</v>
      </c>
      <c r="BM115" s="139" t="s">
        <v>211</v>
      </c>
    </row>
    <row r="116" spans="2:47" s="1" customFormat="1" ht="12">
      <c r="B116" s="33"/>
      <c r="D116" s="141" t="s">
        <v>154</v>
      </c>
      <c r="F116" s="142" t="s">
        <v>212</v>
      </c>
      <c r="I116" s="143"/>
      <c r="L116" s="33"/>
      <c r="M116" s="144"/>
      <c r="T116" s="54"/>
      <c r="AT116" s="18" t="s">
        <v>154</v>
      </c>
      <c r="AU116" s="18" t="s">
        <v>86</v>
      </c>
    </row>
    <row r="117" spans="2:47" s="1" customFormat="1" ht="19.2">
      <c r="B117" s="33"/>
      <c r="D117" s="145" t="s">
        <v>156</v>
      </c>
      <c r="F117" s="146" t="s">
        <v>213</v>
      </c>
      <c r="I117" s="143"/>
      <c r="L117" s="33"/>
      <c r="M117" s="144"/>
      <c r="T117" s="54"/>
      <c r="AT117" s="18" t="s">
        <v>156</v>
      </c>
      <c r="AU117" s="18" t="s">
        <v>86</v>
      </c>
    </row>
    <row r="118" spans="2:65" s="1" customFormat="1" ht="15" customHeight="1">
      <c r="B118" s="33"/>
      <c r="C118" s="128" t="s">
        <v>214</v>
      </c>
      <c r="D118" s="128" t="s">
        <v>147</v>
      </c>
      <c r="E118" s="129" t="s">
        <v>215</v>
      </c>
      <c r="F118" s="130" t="s">
        <v>216</v>
      </c>
      <c r="G118" s="131" t="s">
        <v>150</v>
      </c>
      <c r="H118" s="132">
        <v>1</v>
      </c>
      <c r="I118" s="133"/>
      <c r="J118" s="134">
        <f>ROUND(I118*H118,2)</f>
        <v>0</v>
      </c>
      <c r="K118" s="130" t="s">
        <v>151</v>
      </c>
      <c r="L118" s="33"/>
      <c r="M118" s="135" t="s">
        <v>19</v>
      </c>
      <c r="N118" s="136" t="s">
        <v>47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152</v>
      </c>
      <c r="AT118" s="139" t="s">
        <v>147</v>
      </c>
      <c r="AU118" s="139" t="s">
        <v>86</v>
      </c>
      <c r="AY118" s="18" t="s">
        <v>144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84</v>
      </c>
      <c r="BK118" s="140">
        <f>ROUND(I118*H118,2)</f>
        <v>0</v>
      </c>
      <c r="BL118" s="18" t="s">
        <v>152</v>
      </c>
      <c r="BM118" s="139" t="s">
        <v>217</v>
      </c>
    </row>
    <row r="119" spans="2:47" s="1" customFormat="1" ht="12">
      <c r="B119" s="33"/>
      <c r="D119" s="141" t="s">
        <v>154</v>
      </c>
      <c r="F119" s="142" t="s">
        <v>218</v>
      </c>
      <c r="I119" s="143"/>
      <c r="L119" s="33"/>
      <c r="M119" s="144"/>
      <c r="T119" s="54"/>
      <c r="AT119" s="18" t="s">
        <v>154</v>
      </c>
      <c r="AU119" s="18" t="s">
        <v>86</v>
      </c>
    </row>
    <row r="120" spans="2:63" s="11" customFormat="1" ht="22.8" customHeight="1">
      <c r="B120" s="116"/>
      <c r="D120" s="117" t="s">
        <v>75</v>
      </c>
      <c r="E120" s="126" t="s">
        <v>219</v>
      </c>
      <c r="F120" s="126" t="s">
        <v>220</v>
      </c>
      <c r="I120" s="119"/>
      <c r="J120" s="127">
        <f>BK120</f>
        <v>0</v>
      </c>
      <c r="L120" s="116"/>
      <c r="M120" s="121"/>
      <c r="P120" s="122">
        <f>SUM(P121:P123)</f>
        <v>0</v>
      </c>
      <c r="R120" s="122">
        <f>SUM(R121:R123)</f>
        <v>0</v>
      </c>
      <c r="T120" s="123">
        <f>SUM(T121:T123)</f>
        <v>0</v>
      </c>
      <c r="AR120" s="117" t="s">
        <v>143</v>
      </c>
      <c r="AT120" s="124" t="s">
        <v>75</v>
      </c>
      <c r="AU120" s="124" t="s">
        <v>84</v>
      </c>
      <c r="AY120" s="117" t="s">
        <v>144</v>
      </c>
      <c r="BK120" s="125">
        <f>SUM(BK121:BK123)</f>
        <v>0</v>
      </c>
    </row>
    <row r="121" spans="2:65" s="1" customFormat="1" ht="15" customHeight="1">
      <c r="B121" s="33"/>
      <c r="C121" s="128" t="s">
        <v>221</v>
      </c>
      <c r="D121" s="128" t="s">
        <v>147</v>
      </c>
      <c r="E121" s="129" t="s">
        <v>222</v>
      </c>
      <c r="F121" s="130" t="s">
        <v>220</v>
      </c>
      <c r="G121" s="131" t="s">
        <v>150</v>
      </c>
      <c r="H121" s="132">
        <v>1</v>
      </c>
      <c r="I121" s="133"/>
      <c r="J121" s="134">
        <f>ROUND(I121*H121,2)</f>
        <v>0</v>
      </c>
      <c r="K121" s="130" t="s">
        <v>19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152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152</v>
      </c>
      <c r="BM121" s="139" t="s">
        <v>223</v>
      </c>
    </row>
    <row r="122" spans="2:47" s="1" customFormat="1" ht="19.2">
      <c r="B122" s="33"/>
      <c r="D122" s="145" t="s">
        <v>156</v>
      </c>
      <c r="F122" s="146" t="s">
        <v>224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5" s="1" customFormat="1" ht="15" customHeight="1">
      <c r="B123" s="33"/>
      <c r="C123" s="128" t="s">
        <v>225</v>
      </c>
      <c r="D123" s="128" t="s">
        <v>147</v>
      </c>
      <c r="E123" s="129" t="s">
        <v>226</v>
      </c>
      <c r="F123" s="130" t="s">
        <v>227</v>
      </c>
      <c r="G123" s="131" t="s">
        <v>150</v>
      </c>
      <c r="H123" s="132">
        <v>1</v>
      </c>
      <c r="I123" s="133"/>
      <c r="J123" s="134">
        <f>ROUND(I123*H123,2)</f>
        <v>0</v>
      </c>
      <c r="K123" s="130" t="s">
        <v>19</v>
      </c>
      <c r="L123" s="33"/>
      <c r="M123" s="147" t="s">
        <v>19</v>
      </c>
      <c r="N123" s="148" t="s">
        <v>47</v>
      </c>
      <c r="O123" s="149"/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AR123" s="139" t="s">
        <v>152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152</v>
      </c>
      <c r="BM123" s="139" t="s">
        <v>228</v>
      </c>
    </row>
    <row r="124" spans="2:12" s="1" customFormat="1" ht="6.9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33"/>
    </row>
  </sheetData>
  <sheetProtection algorithmName="SHA-512" hashValue="DNoWJEqEGJLLuGWP/zNg6knBhFmGSwj5ScjRDf48G3lGqJWeAQib84EuqU5/olQPDnceUP5rTOeDXl4RMaCFfw==" saltValue="Q6Xwl6E9lYQGlB9Xt9RHGZSHgLvja+Cwl9144H7emxwG/wb8cGafY0zrmtkitjM8IOaxVg3SO48prC1+evmiBQ==" spinCount="100000" sheet="1" objects="1" scenarios="1" formatColumns="0" formatRows="0" autoFilter="0"/>
  <autoFilter ref="C83:K12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2/012002000"/>
    <hyperlink ref="F95" r:id="rId2" display="https://podminky.urs.cz/item/CS_URS_2022_02/012303000"/>
    <hyperlink ref="F98" r:id="rId3" display="https://podminky.urs.cz/item/CS_URS_2022_02/013244000"/>
    <hyperlink ref="F101" r:id="rId4" display="https://podminky.urs.cz/item/CS_URS_2022_02/013254000"/>
    <hyperlink ref="F104" r:id="rId5" display="https://podminky.urs.cz/item/CS_URS_2022_02/030001000"/>
    <hyperlink ref="F107" r:id="rId6" display="https://podminky.urs.cz/item/CS_URS_2022_02/031002000"/>
    <hyperlink ref="F110" r:id="rId7" display="https://podminky.urs.cz/item/CS_URS_2022_02/049103000"/>
    <hyperlink ref="F113" r:id="rId8" display="https://podminky.urs.cz/item/CS_URS_2022_02/034503000"/>
    <hyperlink ref="F116" r:id="rId9" display="https://podminky.urs.cz/item/CS_URS_2022_02/043103000"/>
    <hyperlink ref="F119" r:id="rId10" display="https://podminky.urs.cz/item/CS_URS_2022_02/045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48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AT2" s="18" t="s">
        <v>89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89" t="s">
        <v>229</v>
      </c>
      <c r="F9" s="495"/>
      <c r="G9" s="495"/>
      <c r="H9" s="495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66"/>
      <c r="G18" s="466"/>
      <c r="H18" s="46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71" t="s">
        <v>19</v>
      </c>
      <c r="F27" s="471"/>
      <c r="G27" s="471"/>
      <c r="H27" s="471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ROUND(J90,2)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ROUND((SUM(BE90:BE547)),2)</f>
        <v>0</v>
      </c>
      <c r="I33" s="90">
        <v>0.21</v>
      </c>
      <c r="J33" s="89">
        <f>ROUND(((SUM(BE90:BE547))*I33),2)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ROUND((SUM(BF90:BF547)),2)</f>
        <v>0</v>
      </c>
      <c r="I34" s="90">
        <v>0.15</v>
      </c>
      <c r="J34" s="89">
        <f>ROUND(((SUM(BF90:BF547))*I34),2)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ROUND((SUM(BG90:BG547)),2)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ROUND((SUM(BH90:BH547)),2)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ROUND((SUM(BI90:BI547)),2)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89" t="str">
        <f>E9</f>
        <v>SO 100 - Komunikace a parkovací stání</v>
      </c>
      <c r="F50" s="495"/>
      <c r="G50" s="495"/>
      <c r="H50" s="495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J90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J91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J92</f>
        <v>0</v>
      </c>
      <c r="L61" s="104"/>
    </row>
    <row r="62" spans="2:12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J229</f>
        <v>0</v>
      </c>
      <c r="L62" s="104"/>
    </row>
    <row r="63" spans="2:12" s="9" customFormat="1" ht="19.95" customHeight="1">
      <c r="B63" s="104"/>
      <c r="D63" s="105" t="s">
        <v>233</v>
      </c>
      <c r="E63" s="106"/>
      <c r="F63" s="106"/>
      <c r="G63" s="106"/>
      <c r="H63" s="106"/>
      <c r="I63" s="106"/>
      <c r="J63" s="107">
        <f>J251</f>
        <v>0</v>
      </c>
      <c r="L63" s="104"/>
    </row>
    <row r="64" spans="2:12" s="9" customFormat="1" ht="19.95" customHeight="1">
      <c r="B64" s="104"/>
      <c r="D64" s="105" t="s">
        <v>234</v>
      </c>
      <c r="E64" s="106"/>
      <c r="F64" s="106"/>
      <c r="G64" s="106"/>
      <c r="H64" s="106"/>
      <c r="I64" s="106"/>
      <c r="J64" s="107">
        <f>J255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J346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J372</f>
        <v>0</v>
      </c>
      <c r="L66" s="104"/>
    </row>
    <row r="67" spans="2:12" s="9" customFormat="1" ht="19.95" customHeight="1">
      <c r="B67" s="104"/>
      <c r="D67" s="105" t="s">
        <v>237</v>
      </c>
      <c r="E67" s="106"/>
      <c r="F67" s="106"/>
      <c r="G67" s="106"/>
      <c r="H67" s="106"/>
      <c r="I67" s="106"/>
      <c r="J67" s="107">
        <f>J489</f>
        <v>0</v>
      </c>
      <c r="L67" s="104"/>
    </row>
    <row r="68" spans="2:12" s="9" customFormat="1" ht="19.95" customHeight="1">
      <c r="B68" s="104"/>
      <c r="D68" s="105" t="s">
        <v>238</v>
      </c>
      <c r="E68" s="106"/>
      <c r="F68" s="106"/>
      <c r="G68" s="106"/>
      <c r="H68" s="106"/>
      <c r="I68" s="106"/>
      <c r="J68" s="107">
        <f>J539</f>
        <v>0</v>
      </c>
      <c r="L68" s="104"/>
    </row>
    <row r="69" spans="2:12" s="8" customFormat="1" ht="24.9" customHeight="1">
      <c r="B69" s="100"/>
      <c r="D69" s="101" t="s">
        <v>239</v>
      </c>
      <c r="E69" s="102"/>
      <c r="F69" s="102"/>
      <c r="G69" s="102"/>
      <c r="H69" s="102"/>
      <c r="I69" s="102"/>
      <c r="J69" s="103">
        <f>J542</f>
        <v>0</v>
      </c>
      <c r="L69" s="100"/>
    </row>
    <row r="70" spans="2:12" s="9" customFormat="1" ht="19.95" customHeight="1">
      <c r="B70" s="104"/>
      <c r="D70" s="105" t="s">
        <v>240</v>
      </c>
      <c r="E70" s="106"/>
      <c r="F70" s="106"/>
      <c r="G70" s="106"/>
      <c r="H70" s="106"/>
      <c r="I70" s="106"/>
      <c r="J70" s="107">
        <f>J543</f>
        <v>0</v>
      </c>
      <c r="L70" s="104"/>
    </row>
    <row r="71" spans="2:12" s="1" customFormat="1" ht="21.75" customHeight="1">
      <c r="B71" s="33"/>
      <c r="L71" s="33"/>
    </row>
    <row r="72" spans="2:12" s="1" customFormat="1" ht="6.9" customHeight="1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33"/>
    </row>
    <row r="76" spans="2:12" s="1" customFormat="1" ht="6.9" customHeight="1"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33"/>
    </row>
    <row r="77" spans="2:12" s="1" customFormat="1" ht="24.9" customHeight="1">
      <c r="B77" s="33"/>
      <c r="C77" s="22" t="s">
        <v>129</v>
      </c>
      <c r="L77" s="33"/>
    </row>
    <row r="78" spans="2:12" s="1" customFormat="1" ht="6.9" customHeight="1">
      <c r="B78" s="33"/>
      <c r="L78" s="33"/>
    </row>
    <row r="79" spans="2:12" s="1" customFormat="1" ht="12" customHeight="1">
      <c r="B79" s="33"/>
      <c r="C79" s="28" t="s">
        <v>16</v>
      </c>
      <c r="L79" s="33"/>
    </row>
    <row r="80" spans="2:12" s="1" customFormat="1" ht="27" customHeight="1">
      <c r="B80" s="33"/>
      <c r="E80" s="496" t="str">
        <f>E7</f>
        <v>REGENERACE PANELOVÉHO SÍDLIŠTĚ PRIEVIDZSKÁ - 7.ETAPA</v>
      </c>
      <c r="F80" s="497"/>
      <c r="G80" s="497"/>
      <c r="H80" s="497"/>
      <c r="L80" s="33"/>
    </row>
    <row r="81" spans="2:12" s="1" customFormat="1" ht="12" customHeight="1">
      <c r="B81" s="33"/>
      <c r="C81" s="28" t="s">
        <v>118</v>
      </c>
      <c r="L81" s="33"/>
    </row>
    <row r="82" spans="2:12" s="1" customFormat="1" ht="15" customHeight="1">
      <c r="B82" s="33"/>
      <c r="E82" s="489" t="str">
        <f>E9</f>
        <v>SO 100 - Komunikace a parkovací stání</v>
      </c>
      <c r="F82" s="495"/>
      <c r="G82" s="495"/>
      <c r="H82" s="495"/>
      <c r="L82" s="33"/>
    </row>
    <row r="83" spans="2:12" s="1" customFormat="1" ht="6.9" customHeight="1">
      <c r="B83" s="33"/>
      <c r="L83" s="33"/>
    </row>
    <row r="84" spans="2:12" s="1" customFormat="1" ht="12" customHeight="1">
      <c r="B84" s="33"/>
      <c r="C84" s="28" t="s">
        <v>21</v>
      </c>
      <c r="F84" s="26" t="str">
        <f>F12</f>
        <v xml:space="preserve"> </v>
      </c>
      <c r="I84" s="28" t="s">
        <v>23</v>
      </c>
      <c r="J84" s="50" t="str">
        <f>IF(J12="","",J12)</f>
        <v>22. 10. 2022</v>
      </c>
      <c r="L84" s="33"/>
    </row>
    <row r="85" spans="2:12" s="1" customFormat="1" ht="6.9" customHeight="1">
      <c r="B85" s="33"/>
      <c r="L85" s="33"/>
    </row>
    <row r="86" spans="2:12" s="1" customFormat="1" ht="14.85" customHeight="1">
      <c r="B86" s="33"/>
      <c r="C86" s="28" t="s">
        <v>25</v>
      </c>
      <c r="F86" s="26" t="str">
        <f>E15</f>
        <v>Město Šumperk</v>
      </c>
      <c r="I86" s="28" t="s">
        <v>33</v>
      </c>
      <c r="J86" s="31" t="str">
        <f>E21</f>
        <v>Ateliér DPK, s.r.o.</v>
      </c>
      <c r="L86" s="33"/>
    </row>
    <row r="87" spans="2:12" s="1" customFormat="1" ht="14.85" customHeight="1">
      <c r="B87" s="33"/>
      <c r="C87" s="28" t="s">
        <v>31</v>
      </c>
      <c r="F87" s="26" t="str">
        <f>IF(E18="","",E18)</f>
        <v>Vyplň údaj</v>
      </c>
      <c r="I87" s="28" t="s">
        <v>38</v>
      </c>
      <c r="J87" s="31" t="str">
        <f>E24</f>
        <v xml:space="preserve"> </v>
      </c>
      <c r="L87" s="33"/>
    </row>
    <row r="88" spans="2:12" s="1" customFormat="1" ht="10.35" customHeight="1">
      <c r="B88" s="33"/>
      <c r="L88" s="33"/>
    </row>
    <row r="89" spans="2:20" s="10" customFormat="1" ht="29.25" customHeight="1">
      <c r="B89" s="108"/>
      <c r="C89" s="109" t="s">
        <v>130</v>
      </c>
      <c r="D89" s="110" t="s">
        <v>61</v>
      </c>
      <c r="E89" s="110" t="s">
        <v>57</v>
      </c>
      <c r="F89" s="110" t="s">
        <v>58</v>
      </c>
      <c r="G89" s="110" t="s">
        <v>131</v>
      </c>
      <c r="H89" s="110" t="s">
        <v>132</v>
      </c>
      <c r="I89" s="110" t="s">
        <v>133</v>
      </c>
      <c r="J89" s="110" t="s">
        <v>122</v>
      </c>
      <c r="K89" s="111" t="s">
        <v>134</v>
      </c>
      <c r="L89" s="108"/>
      <c r="M89" s="57" t="s">
        <v>19</v>
      </c>
      <c r="N89" s="58" t="s">
        <v>46</v>
      </c>
      <c r="O89" s="58" t="s">
        <v>135</v>
      </c>
      <c r="P89" s="58" t="s">
        <v>136</v>
      </c>
      <c r="Q89" s="58" t="s">
        <v>137</v>
      </c>
      <c r="R89" s="58" t="s">
        <v>138</v>
      </c>
      <c r="S89" s="58" t="s">
        <v>139</v>
      </c>
      <c r="T89" s="59" t="s">
        <v>140</v>
      </c>
    </row>
    <row r="90" spans="2:63" s="1" customFormat="1" ht="22.8" customHeight="1">
      <c r="B90" s="33"/>
      <c r="C90" s="62" t="s">
        <v>141</v>
      </c>
      <c r="J90" s="112">
        <f>BK90</f>
        <v>0</v>
      </c>
      <c r="L90" s="33"/>
      <c r="M90" s="60"/>
      <c r="N90" s="51"/>
      <c r="O90" s="51"/>
      <c r="P90" s="113">
        <f>P91+P542</f>
        <v>0</v>
      </c>
      <c r="Q90" s="51"/>
      <c r="R90" s="113">
        <f>R91+R542</f>
        <v>1050.9735744</v>
      </c>
      <c r="S90" s="51"/>
      <c r="T90" s="114">
        <f>T91+T542</f>
        <v>1217.7845000000002</v>
      </c>
      <c r="AT90" s="18" t="s">
        <v>75</v>
      </c>
      <c r="AU90" s="18" t="s">
        <v>123</v>
      </c>
      <c r="BK90" s="115">
        <f>BK91+BK542</f>
        <v>0</v>
      </c>
    </row>
    <row r="91" spans="2:63" s="11" customFormat="1" ht="25.8" customHeight="1">
      <c r="B91" s="116"/>
      <c r="D91" s="117" t="s">
        <v>75</v>
      </c>
      <c r="E91" s="118" t="s">
        <v>241</v>
      </c>
      <c r="F91" s="118" t="s">
        <v>242</v>
      </c>
      <c r="I91" s="119"/>
      <c r="J91" s="120">
        <f>BK91</f>
        <v>0</v>
      </c>
      <c r="L91" s="116"/>
      <c r="M91" s="121"/>
      <c r="P91" s="122">
        <f>P92+P229+P251+P255+P346+P372+P489+P539</f>
        <v>0</v>
      </c>
      <c r="R91" s="122">
        <f>R92+R229+R251+R255+R346+R372+R489+R539</f>
        <v>1050.9735744</v>
      </c>
      <c r="T91" s="123">
        <f>T92+T229+T251+T255+T346+T372+T489+T539</f>
        <v>1217.7210000000002</v>
      </c>
      <c r="AR91" s="117" t="s">
        <v>84</v>
      </c>
      <c r="AT91" s="124" t="s">
        <v>75</v>
      </c>
      <c r="AU91" s="124" t="s">
        <v>76</v>
      </c>
      <c r="AY91" s="117" t="s">
        <v>144</v>
      </c>
      <c r="BK91" s="125">
        <f>BK92+BK229+BK251+BK255+BK346+BK372+BK489+BK539</f>
        <v>0</v>
      </c>
    </row>
    <row r="92" spans="2:63" s="11" customFormat="1" ht="22.8" customHeight="1">
      <c r="B92" s="116"/>
      <c r="D92" s="117" t="s">
        <v>75</v>
      </c>
      <c r="E92" s="126" t="s">
        <v>84</v>
      </c>
      <c r="F92" s="126" t="s">
        <v>243</v>
      </c>
      <c r="I92" s="119"/>
      <c r="J92" s="127">
        <f>BK92</f>
        <v>0</v>
      </c>
      <c r="L92" s="116"/>
      <c r="M92" s="121"/>
      <c r="P92" s="122">
        <f>SUM(P93:P228)</f>
        <v>0</v>
      </c>
      <c r="R92" s="122">
        <f>SUM(R93:R228)</f>
        <v>4.29677</v>
      </c>
      <c r="T92" s="123">
        <f>SUM(T93:T228)</f>
        <v>1155.0150000000003</v>
      </c>
      <c r="AR92" s="117" t="s">
        <v>84</v>
      </c>
      <c r="AT92" s="124" t="s">
        <v>75</v>
      </c>
      <c r="AU92" s="124" t="s">
        <v>84</v>
      </c>
      <c r="AY92" s="117" t="s">
        <v>144</v>
      </c>
      <c r="BK92" s="125">
        <f>SUM(BK93:BK228)</f>
        <v>0</v>
      </c>
    </row>
    <row r="93" spans="2:65" s="1" customFormat="1" ht="23.7" customHeight="1">
      <c r="B93" s="33"/>
      <c r="C93" s="128" t="s">
        <v>84</v>
      </c>
      <c r="D93" s="128" t="s">
        <v>147</v>
      </c>
      <c r="E93" s="129" t="s">
        <v>244</v>
      </c>
      <c r="F93" s="130" t="s">
        <v>245</v>
      </c>
      <c r="G93" s="131" t="s">
        <v>246</v>
      </c>
      <c r="H93" s="132">
        <v>842</v>
      </c>
      <c r="I93" s="133"/>
      <c r="J93" s="134">
        <f>ROUND(I93*H93,2)</f>
        <v>0</v>
      </c>
      <c r="K93" s="130" t="s">
        <v>151</v>
      </c>
      <c r="L93" s="33"/>
      <c r="M93" s="135" t="s">
        <v>19</v>
      </c>
      <c r="N93" s="136" t="s">
        <v>47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166</v>
      </c>
      <c r="AT93" s="139" t="s">
        <v>147</v>
      </c>
      <c r="AU93" s="139" t="s">
        <v>86</v>
      </c>
      <c r="AY93" s="18" t="s">
        <v>144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8" t="s">
        <v>84</v>
      </c>
      <c r="BK93" s="140">
        <f>ROUND(I93*H93,2)</f>
        <v>0</v>
      </c>
      <c r="BL93" s="18" t="s">
        <v>166</v>
      </c>
      <c r="BM93" s="139" t="s">
        <v>247</v>
      </c>
    </row>
    <row r="94" spans="2:47" s="1" customFormat="1" ht="12">
      <c r="B94" s="33"/>
      <c r="D94" s="141" t="s">
        <v>154</v>
      </c>
      <c r="F94" s="142" t="s">
        <v>248</v>
      </c>
      <c r="I94" s="143"/>
      <c r="L94" s="33"/>
      <c r="M94" s="144"/>
      <c r="T94" s="54"/>
      <c r="AT94" s="18" t="s">
        <v>154</v>
      </c>
      <c r="AU94" s="18" t="s">
        <v>86</v>
      </c>
    </row>
    <row r="95" spans="2:51" s="12" customFormat="1" ht="12">
      <c r="B95" s="152"/>
      <c r="D95" s="145" t="s">
        <v>249</v>
      </c>
      <c r="E95" s="153" t="s">
        <v>19</v>
      </c>
      <c r="F95" s="154" t="s">
        <v>250</v>
      </c>
      <c r="H95" s="155">
        <v>842</v>
      </c>
      <c r="I95" s="156"/>
      <c r="L95" s="152"/>
      <c r="M95" s="157"/>
      <c r="T95" s="158"/>
      <c r="AT95" s="153" t="s">
        <v>249</v>
      </c>
      <c r="AU95" s="153" t="s">
        <v>86</v>
      </c>
      <c r="AV95" s="12" t="s">
        <v>86</v>
      </c>
      <c r="AW95" s="12" t="s">
        <v>37</v>
      </c>
      <c r="AX95" s="12" t="s">
        <v>76</v>
      </c>
      <c r="AY95" s="153" t="s">
        <v>144</v>
      </c>
    </row>
    <row r="96" spans="2:51" s="13" customFormat="1" ht="12">
      <c r="B96" s="159"/>
      <c r="D96" s="145" t="s">
        <v>249</v>
      </c>
      <c r="E96" s="160" t="s">
        <v>19</v>
      </c>
      <c r="F96" s="161" t="s">
        <v>251</v>
      </c>
      <c r="H96" s="162">
        <v>842</v>
      </c>
      <c r="I96" s="163"/>
      <c r="L96" s="159"/>
      <c r="M96" s="164"/>
      <c r="T96" s="165"/>
      <c r="AT96" s="160" t="s">
        <v>249</v>
      </c>
      <c r="AU96" s="160" t="s">
        <v>86</v>
      </c>
      <c r="AV96" s="13" t="s">
        <v>166</v>
      </c>
      <c r="AW96" s="13" t="s">
        <v>37</v>
      </c>
      <c r="AX96" s="13" t="s">
        <v>84</v>
      </c>
      <c r="AY96" s="160" t="s">
        <v>144</v>
      </c>
    </row>
    <row r="97" spans="2:65" s="1" customFormat="1" ht="74.55" customHeight="1">
      <c r="B97" s="33"/>
      <c r="C97" s="128" t="s">
        <v>86</v>
      </c>
      <c r="D97" s="128" t="s">
        <v>147</v>
      </c>
      <c r="E97" s="129" t="s">
        <v>252</v>
      </c>
      <c r="F97" s="130" t="s">
        <v>253</v>
      </c>
      <c r="G97" s="131" t="s">
        <v>246</v>
      </c>
      <c r="H97" s="132">
        <v>40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0.255</v>
      </c>
      <c r="T97" s="138">
        <f>S97*H97</f>
        <v>10.2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254</v>
      </c>
    </row>
    <row r="98" spans="2:47" s="1" customFormat="1" ht="12">
      <c r="B98" s="33"/>
      <c r="D98" s="141" t="s">
        <v>154</v>
      </c>
      <c r="F98" s="142" t="s">
        <v>255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51" s="12" customFormat="1" ht="12">
      <c r="B99" s="152"/>
      <c r="D99" s="145" t="s">
        <v>249</v>
      </c>
      <c r="E99" s="153" t="s">
        <v>19</v>
      </c>
      <c r="F99" s="154" t="s">
        <v>256</v>
      </c>
      <c r="H99" s="155">
        <v>40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51" s="13" customFormat="1" ht="12">
      <c r="B100" s="159"/>
      <c r="D100" s="145" t="s">
        <v>249</v>
      </c>
      <c r="E100" s="160" t="s">
        <v>19</v>
      </c>
      <c r="F100" s="161" t="s">
        <v>251</v>
      </c>
      <c r="H100" s="162">
        <v>40</v>
      </c>
      <c r="I100" s="163"/>
      <c r="L100" s="159"/>
      <c r="M100" s="164"/>
      <c r="T100" s="165"/>
      <c r="AT100" s="160" t="s">
        <v>249</v>
      </c>
      <c r="AU100" s="160" t="s">
        <v>86</v>
      </c>
      <c r="AV100" s="13" t="s">
        <v>166</v>
      </c>
      <c r="AW100" s="13" t="s">
        <v>37</v>
      </c>
      <c r="AX100" s="13" t="s">
        <v>84</v>
      </c>
      <c r="AY100" s="160" t="s">
        <v>144</v>
      </c>
    </row>
    <row r="101" spans="2:65" s="1" customFormat="1" ht="63.9" customHeight="1">
      <c r="B101" s="33"/>
      <c r="C101" s="128" t="s">
        <v>162</v>
      </c>
      <c r="D101" s="128" t="s">
        <v>147</v>
      </c>
      <c r="E101" s="129" t="s">
        <v>257</v>
      </c>
      <c r="F101" s="130" t="s">
        <v>258</v>
      </c>
      <c r="G101" s="131" t="s">
        <v>246</v>
      </c>
      <c r="H101" s="132">
        <v>42</v>
      </c>
      <c r="I101" s="133"/>
      <c r="J101" s="134">
        <f>ROUND(I101*H101,2)</f>
        <v>0</v>
      </c>
      <c r="K101" s="130" t="s">
        <v>151</v>
      </c>
      <c r="L101" s="33"/>
      <c r="M101" s="135" t="s">
        <v>19</v>
      </c>
      <c r="N101" s="136" t="s">
        <v>47</v>
      </c>
      <c r="P101" s="137">
        <f>O101*H101</f>
        <v>0</v>
      </c>
      <c r="Q101" s="137">
        <v>0</v>
      </c>
      <c r="R101" s="137">
        <f>Q101*H101</f>
        <v>0</v>
      </c>
      <c r="S101" s="137">
        <v>0.4</v>
      </c>
      <c r="T101" s="138">
        <f>S101*H101</f>
        <v>16.8</v>
      </c>
      <c r="AR101" s="139" t="s">
        <v>166</v>
      </c>
      <c r="AT101" s="139" t="s">
        <v>147</v>
      </c>
      <c r="AU101" s="139" t="s">
        <v>86</v>
      </c>
      <c r="AY101" s="18" t="s">
        <v>144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84</v>
      </c>
      <c r="BK101" s="140">
        <f>ROUND(I101*H101,2)</f>
        <v>0</v>
      </c>
      <c r="BL101" s="18" t="s">
        <v>166</v>
      </c>
      <c r="BM101" s="139" t="s">
        <v>259</v>
      </c>
    </row>
    <row r="102" spans="2:47" s="1" customFormat="1" ht="12">
      <c r="B102" s="33"/>
      <c r="D102" s="141" t="s">
        <v>154</v>
      </c>
      <c r="F102" s="142" t="s">
        <v>260</v>
      </c>
      <c r="I102" s="143"/>
      <c r="L102" s="33"/>
      <c r="M102" s="144"/>
      <c r="T102" s="54"/>
      <c r="AT102" s="18" t="s">
        <v>154</v>
      </c>
      <c r="AU102" s="18" t="s">
        <v>86</v>
      </c>
    </row>
    <row r="103" spans="2:51" s="12" customFormat="1" ht="12">
      <c r="B103" s="152"/>
      <c r="D103" s="145" t="s">
        <v>249</v>
      </c>
      <c r="E103" s="153" t="s">
        <v>19</v>
      </c>
      <c r="F103" s="154" t="s">
        <v>261</v>
      </c>
      <c r="H103" s="155">
        <v>42</v>
      </c>
      <c r="I103" s="156"/>
      <c r="L103" s="152"/>
      <c r="M103" s="157"/>
      <c r="T103" s="158"/>
      <c r="AT103" s="153" t="s">
        <v>249</v>
      </c>
      <c r="AU103" s="153" t="s">
        <v>86</v>
      </c>
      <c r="AV103" s="12" t="s">
        <v>86</v>
      </c>
      <c r="AW103" s="12" t="s">
        <v>37</v>
      </c>
      <c r="AX103" s="12" t="s">
        <v>76</v>
      </c>
      <c r="AY103" s="153" t="s">
        <v>144</v>
      </c>
    </row>
    <row r="104" spans="2:51" s="13" customFormat="1" ht="12">
      <c r="B104" s="159"/>
      <c r="D104" s="145" t="s">
        <v>249</v>
      </c>
      <c r="E104" s="160" t="s">
        <v>19</v>
      </c>
      <c r="F104" s="161" t="s">
        <v>251</v>
      </c>
      <c r="H104" s="162">
        <v>42</v>
      </c>
      <c r="I104" s="163"/>
      <c r="L104" s="159"/>
      <c r="M104" s="164"/>
      <c r="T104" s="165"/>
      <c r="AT104" s="160" t="s">
        <v>249</v>
      </c>
      <c r="AU104" s="160" t="s">
        <v>86</v>
      </c>
      <c r="AV104" s="13" t="s">
        <v>166</v>
      </c>
      <c r="AW104" s="13" t="s">
        <v>37</v>
      </c>
      <c r="AX104" s="13" t="s">
        <v>84</v>
      </c>
      <c r="AY104" s="160" t="s">
        <v>144</v>
      </c>
    </row>
    <row r="105" spans="2:65" s="1" customFormat="1" ht="60.45" customHeight="1">
      <c r="B105" s="33"/>
      <c r="C105" s="128" t="s">
        <v>166</v>
      </c>
      <c r="D105" s="128" t="s">
        <v>147</v>
      </c>
      <c r="E105" s="129" t="s">
        <v>262</v>
      </c>
      <c r="F105" s="130" t="s">
        <v>263</v>
      </c>
      <c r="G105" s="131" t="s">
        <v>246</v>
      </c>
      <c r="H105" s="132">
        <v>300</v>
      </c>
      <c r="I105" s="133"/>
      <c r="J105" s="134">
        <f>ROUND(I105*H105,2)</f>
        <v>0</v>
      </c>
      <c r="K105" s="130" t="s">
        <v>151</v>
      </c>
      <c r="L105" s="33"/>
      <c r="M105" s="135" t="s">
        <v>19</v>
      </c>
      <c r="N105" s="136" t="s">
        <v>47</v>
      </c>
      <c r="P105" s="137">
        <f>O105*H105</f>
        <v>0</v>
      </c>
      <c r="Q105" s="137">
        <v>0</v>
      </c>
      <c r="R105" s="137">
        <f>Q105*H105</f>
        <v>0</v>
      </c>
      <c r="S105" s="137">
        <v>0.17</v>
      </c>
      <c r="T105" s="138">
        <f>S105*H105</f>
        <v>51.00000000000001</v>
      </c>
      <c r="AR105" s="139" t="s">
        <v>166</v>
      </c>
      <c r="AT105" s="139" t="s">
        <v>147</v>
      </c>
      <c r="AU105" s="139" t="s">
        <v>86</v>
      </c>
      <c r="AY105" s="18" t="s">
        <v>144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84</v>
      </c>
      <c r="BK105" s="140">
        <f>ROUND(I105*H105,2)</f>
        <v>0</v>
      </c>
      <c r="BL105" s="18" t="s">
        <v>166</v>
      </c>
      <c r="BM105" s="139" t="s">
        <v>264</v>
      </c>
    </row>
    <row r="106" spans="2:47" s="1" customFormat="1" ht="12">
      <c r="B106" s="33"/>
      <c r="D106" s="141" t="s">
        <v>154</v>
      </c>
      <c r="F106" s="142" t="s">
        <v>265</v>
      </c>
      <c r="I106" s="143"/>
      <c r="L106" s="33"/>
      <c r="M106" s="144"/>
      <c r="T106" s="54"/>
      <c r="AT106" s="18" t="s">
        <v>154</v>
      </c>
      <c r="AU106" s="18" t="s">
        <v>86</v>
      </c>
    </row>
    <row r="107" spans="2:51" s="12" customFormat="1" ht="12">
      <c r="B107" s="152"/>
      <c r="D107" s="145" t="s">
        <v>249</v>
      </c>
      <c r="E107" s="153" t="s">
        <v>19</v>
      </c>
      <c r="F107" s="154" t="s">
        <v>266</v>
      </c>
      <c r="H107" s="155">
        <v>300</v>
      </c>
      <c r="I107" s="156"/>
      <c r="L107" s="152"/>
      <c r="M107" s="157"/>
      <c r="T107" s="158"/>
      <c r="AT107" s="153" t="s">
        <v>249</v>
      </c>
      <c r="AU107" s="153" t="s">
        <v>86</v>
      </c>
      <c r="AV107" s="12" t="s">
        <v>86</v>
      </c>
      <c r="AW107" s="12" t="s">
        <v>37</v>
      </c>
      <c r="AX107" s="12" t="s">
        <v>76</v>
      </c>
      <c r="AY107" s="153" t="s">
        <v>144</v>
      </c>
    </row>
    <row r="108" spans="2:51" s="13" customFormat="1" ht="12">
      <c r="B108" s="159"/>
      <c r="D108" s="145" t="s">
        <v>249</v>
      </c>
      <c r="E108" s="160" t="s">
        <v>19</v>
      </c>
      <c r="F108" s="161" t="s">
        <v>251</v>
      </c>
      <c r="H108" s="162">
        <v>300</v>
      </c>
      <c r="I108" s="163"/>
      <c r="L108" s="159"/>
      <c r="M108" s="164"/>
      <c r="T108" s="165"/>
      <c r="AT108" s="160" t="s">
        <v>249</v>
      </c>
      <c r="AU108" s="160" t="s">
        <v>86</v>
      </c>
      <c r="AV108" s="13" t="s">
        <v>166</v>
      </c>
      <c r="AW108" s="13" t="s">
        <v>37</v>
      </c>
      <c r="AX108" s="13" t="s">
        <v>84</v>
      </c>
      <c r="AY108" s="160" t="s">
        <v>144</v>
      </c>
    </row>
    <row r="109" spans="2:65" s="1" customFormat="1" ht="63.9" customHeight="1">
      <c r="B109" s="33"/>
      <c r="C109" s="128" t="s">
        <v>143</v>
      </c>
      <c r="D109" s="128" t="s">
        <v>147</v>
      </c>
      <c r="E109" s="129" t="s">
        <v>267</v>
      </c>
      <c r="F109" s="130" t="s">
        <v>268</v>
      </c>
      <c r="G109" s="131" t="s">
        <v>246</v>
      </c>
      <c r="H109" s="132">
        <v>300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0.29</v>
      </c>
      <c r="T109" s="138">
        <f>S109*H109</f>
        <v>87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269</v>
      </c>
    </row>
    <row r="110" spans="2:47" s="1" customFormat="1" ht="12">
      <c r="B110" s="33"/>
      <c r="D110" s="141" t="s">
        <v>154</v>
      </c>
      <c r="F110" s="142" t="s">
        <v>270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51" s="12" customFormat="1" ht="12">
      <c r="B111" s="152"/>
      <c r="D111" s="145" t="s">
        <v>249</v>
      </c>
      <c r="E111" s="153" t="s">
        <v>19</v>
      </c>
      <c r="F111" s="154" t="s">
        <v>271</v>
      </c>
      <c r="H111" s="155">
        <v>300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51" s="13" customFormat="1" ht="12">
      <c r="B112" s="159"/>
      <c r="D112" s="145" t="s">
        <v>249</v>
      </c>
      <c r="E112" s="160" t="s">
        <v>19</v>
      </c>
      <c r="F112" s="161" t="s">
        <v>251</v>
      </c>
      <c r="H112" s="162">
        <v>300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63.9" customHeight="1">
      <c r="B113" s="33"/>
      <c r="C113" s="128" t="s">
        <v>177</v>
      </c>
      <c r="D113" s="128" t="s">
        <v>147</v>
      </c>
      <c r="E113" s="129" t="s">
        <v>272</v>
      </c>
      <c r="F113" s="130" t="s">
        <v>273</v>
      </c>
      <c r="G113" s="131" t="s">
        <v>246</v>
      </c>
      <c r="H113" s="132">
        <v>286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0.29</v>
      </c>
      <c r="T113" s="138">
        <f>S113*H113</f>
        <v>82.94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274</v>
      </c>
    </row>
    <row r="114" spans="2:47" s="1" customFormat="1" ht="12">
      <c r="B114" s="33"/>
      <c r="D114" s="141" t="s">
        <v>154</v>
      </c>
      <c r="F114" s="142" t="s">
        <v>275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51" s="12" customFormat="1" ht="12">
      <c r="B115" s="152"/>
      <c r="D115" s="145" t="s">
        <v>249</v>
      </c>
      <c r="E115" s="153" t="s">
        <v>19</v>
      </c>
      <c r="F115" s="154" t="s">
        <v>276</v>
      </c>
      <c r="H115" s="155">
        <v>286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51" s="13" customFormat="1" ht="12">
      <c r="B116" s="159"/>
      <c r="D116" s="145" t="s">
        <v>249</v>
      </c>
      <c r="E116" s="160" t="s">
        <v>19</v>
      </c>
      <c r="F116" s="161" t="s">
        <v>251</v>
      </c>
      <c r="H116" s="162">
        <v>286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63.9" customHeight="1">
      <c r="B117" s="33"/>
      <c r="C117" s="128" t="s">
        <v>184</v>
      </c>
      <c r="D117" s="128" t="s">
        <v>147</v>
      </c>
      <c r="E117" s="129" t="s">
        <v>277</v>
      </c>
      <c r="F117" s="130" t="s">
        <v>278</v>
      </c>
      <c r="G117" s="131" t="s">
        <v>246</v>
      </c>
      <c r="H117" s="132">
        <v>491</v>
      </c>
      <c r="I117" s="133"/>
      <c r="J117" s="134">
        <f>ROUND(I117*H117,2)</f>
        <v>0</v>
      </c>
      <c r="K117" s="130" t="s">
        <v>151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0.44</v>
      </c>
      <c r="T117" s="138">
        <f>S117*H117</f>
        <v>216.04</v>
      </c>
      <c r="AR117" s="139" t="s">
        <v>166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279</v>
      </c>
    </row>
    <row r="118" spans="2:47" s="1" customFormat="1" ht="12">
      <c r="B118" s="33"/>
      <c r="D118" s="141" t="s">
        <v>154</v>
      </c>
      <c r="F118" s="142" t="s">
        <v>280</v>
      </c>
      <c r="I118" s="143"/>
      <c r="L118" s="33"/>
      <c r="M118" s="144"/>
      <c r="T118" s="54"/>
      <c r="AT118" s="18" t="s">
        <v>154</v>
      </c>
      <c r="AU118" s="18" t="s">
        <v>86</v>
      </c>
    </row>
    <row r="119" spans="2:51" s="12" customFormat="1" ht="12">
      <c r="B119" s="152"/>
      <c r="D119" s="145" t="s">
        <v>249</v>
      </c>
      <c r="E119" s="153" t="s">
        <v>19</v>
      </c>
      <c r="F119" s="154" t="s">
        <v>281</v>
      </c>
      <c r="H119" s="155">
        <v>491</v>
      </c>
      <c r="I119" s="156"/>
      <c r="L119" s="152"/>
      <c r="M119" s="157"/>
      <c r="T119" s="158"/>
      <c r="AT119" s="153" t="s">
        <v>249</v>
      </c>
      <c r="AU119" s="153" t="s">
        <v>86</v>
      </c>
      <c r="AV119" s="12" t="s">
        <v>86</v>
      </c>
      <c r="AW119" s="12" t="s">
        <v>37</v>
      </c>
      <c r="AX119" s="12" t="s">
        <v>76</v>
      </c>
      <c r="AY119" s="153" t="s">
        <v>144</v>
      </c>
    </row>
    <row r="120" spans="2:51" s="14" customFormat="1" ht="20.4">
      <c r="B120" s="166"/>
      <c r="D120" s="145" t="s">
        <v>249</v>
      </c>
      <c r="E120" s="167" t="s">
        <v>19</v>
      </c>
      <c r="F120" s="168" t="s">
        <v>282</v>
      </c>
      <c r="H120" s="167" t="s">
        <v>19</v>
      </c>
      <c r="I120" s="169"/>
      <c r="L120" s="166"/>
      <c r="M120" s="170"/>
      <c r="T120" s="171"/>
      <c r="AT120" s="167" t="s">
        <v>249</v>
      </c>
      <c r="AU120" s="167" t="s">
        <v>86</v>
      </c>
      <c r="AV120" s="14" t="s">
        <v>84</v>
      </c>
      <c r="AW120" s="14" t="s">
        <v>37</v>
      </c>
      <c r="AX120" s="14" t="s">
        <v>76</v>
      </c>
      <c r="AY120" s="167" t="s">
        <v>144</v>
      </c>
    </row>
    <row r="121" spans="2:51" s="13" customFormat="1" ht="12">
      <c r="B121" s="159"/>
      <c r="D121" s="145" t="s">
        <v>249</v>
      </c>
      <c r="E121" s="160" t="s">
        <v>19</v>
      </c>
      <c r="F121" s="161" t="s">
        <v>251</v>
      </c>
      <c r="H121" s="162">
        <v>491</v>
      </c>
      <c r="I121" s="163"/>
      <c r="L121" s="159"/>
      <c r="M121" s="164"/>
      <c r="T121" s="165"/>
      <c r="AT121" s="160" t="s">
        <v>249</v>
      </c>
      <c r="AU121" s="160" t="s">
        <v>86</v>
      </c>
      <c r="AV121" s="13" t="s">
        <v>166</v>
      </c>
      <c r="AW121" s="13" t="s">
        <v>37</v>
      </c>
      <c r="AX121" s="13" t="s">
        <v>84</v>
      </c>
      <c r="AY121" s="160" t="s">
        <v>144</v>
      </c>
    </row>
    <row r="122" spans="2:65" s="1" customFormat="1" ht="60.45" customHeight="1">
      <c r="B122" s="33"/>
      <c r="C122" s="128" t="s">
        <v>189</v>
      </c>
      <c r="D122" s="128" t="s">
        <v>147</v>
      </c>
      <c r="E122" s="129" t="s">
        <v>283</v>
      </c>
      <c r="F122" s="130" t="s">
        <v>284</v>
      </c>
      <c r="G122" s="131" t="s">
        <v>246</v>
      </c>
      <c r="H122" s="132">
        <v>797</v>
      </c>
      <c r="I122" s="133"/>
      <c r="J122" s="134">
        <f>ROUND(I122*H122,2)</f>
        <v>0</v>
      </c>
      <c r="K122" s="130" t="s">
        <v>151</v>
      </c>
      <c r="L122" s="33"/>
      <c r="M122" s="135" t="s">
        <v>19</v>
      </c>
      <c r="N122" s="136" t="s">
        <v>47</v>
      </c>
      <c r="P122" s="137">
        <f>O122*H122</f>
        <v>0</v>
      </c>
      <c r="Q122" s="137">
        <v>0</v>
      </c>
      <c r="R122" s="137">
        <f>Q122*H122</f>
        <v>0</v>
      </c>
      <c r="S122" s="137">
        <v>0.325</v>
      </c>
      <c r="T122" s="138">
        <f>S122*H122</f>
        <v>259.02500000000003</v>
      </c>
      <c r="AR122" s="139" t="s">
        <v>166</v>
      </c>
      <c r="AT122" s="139" t="s">
        <v>147</v>
      </c>
      <c r="AU122" s="139" t="s">
        <v>86</v>
      </c>
      <c r="AY122" s="18" t="s">
        <v>144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84</v>
      </c>
      <c r="BK122" s="140">
        <f>ROUND(I122*H122,2)</f>
        <v>0</v>
      </c>
      <c r="BL122" s="18" t="s">
        <v>166</v>
      </c>
      <c r="BM122" s="139" t="s">
        <v>285</v>
      </c>
    </row>
    <row r="123" spans="2:47" s="1" customFormat="1" ht="12">
      <c r="B123" s="33"/>
      <c r="D123" s="141" t="s">
        <v>154</v>
      </c>
      <c r="F123" s="142" t="s">
        <v>286</v>
      </c>
      <c r="I123" s="143"/>
      <c r="L123" s="33"/>
      <c r="M123" s="144"/>
      <c r="T123" s="54"/>
      <c r="AT123" s="18" t="s">
        <v>154</v>
      </c>
      <c r="AU123" s="18" t="s">
        <v>86</v>
      </c>
    </row>
    <row r="124" spans="2:51" s="12" customFormat="1" ht="12">
      <c r="B124" s="152"/>
      <c r="D124" s="145" t="s">
        <v>249</v>
      </c>
      <c r="E124" s="153" t="s">
        <v>19</v>
      </c>
      <c r="F124" s="154" t="s">
        <v>287</v>
      </c>
      <c r="H124" s="155">
        <v>511</v>
      </c>
      <c r="I124" s="156"/>
      <c r="L124" s="152"/>
      <c r="M124" s="157"/>
      <c r="T124" s="158"/>
      <c r="AT124" s="153" t="s">
        <v>249</v>
      </c>
      <c r="AU124" s="153" t="s">
        <v>86</v>
      </c>
      <c r="AV124" s="12" t="s">
        <v>86</v>
      </c>
      <c r="AW124" s="12" t="s">
        <v>37</v>
      </c>
      <c r="AX124" s="12" t="s">
        <v>76</v>
      </c>
      <c r="AY124" s="153" t="s">
        <v>144</v>
      </c>
    </row>
    <row r="125" spans="2:51" s="12" customFormat="1" ht="12">
      <c r="B125" s="152"/>
      <c r="D125" s="145" t="s">
        <v>249</v>
      </c>
      <c r="E125" s="153" t="s">
        <v>19</v>
      </c>
      <c r="F125" s="154" t="s">
        <v>288</v>
      </c>
      <c r="H125" s="155">
        <v>286</v>
      </c>
      <c r="I125" s="156"/>
      <c r="L125" s="152"/>
      <c r="M125" s="157"/>
      <c r="T125" s="158"/>
      <c r="AT125" s="153" t="s">
        <v>249</v>
      </c>
      <c r="AU125" s="153" t="s">
        <v>86</v>
      </c>
      <c r="AV125" s="12" t="s">
        <v>86</v>
      </c>
      <c r="AW125" s="12" t="s">
        <v>37</v>
      </c>
      <c r="AX125" s="12" t="s">
        <v>76</v>
      </c>
      <c r="AY125" s="153" t="s">
        <v>144</v>
      </c>
    </row>
    <row r="126" spans="2:51" s="13" customFormat="1" ht="12">
      <c r="B126" s="159"/>
      <c r="D126" s="145" t="s">
        <v>249</v>
      </c>
      <c r="E126" s="160" t="s">
        <v>19</v>
      </c>
      <c r="F126" s="161" t="s">
        <v>251</v>
      </c>
      <c r="H126" s="162">
        <v>797</v>
      </c>
      <c r="I126" s="163"/>
      <c r="L126" s="159"/>
      <c r="M126" s="164"/>
      <c r="T126" s="165"/>
      <c r="AT126" s="160" t="s">
        <v>249</v>
      </c>
      <c r="AU126" s="160" t="s">
        <v>86</v>
      </c>
      <c r="AV126" s="13" t="s">
        <v>166</v>
      </c>
      <c r="AW126" s="13" t="s">
        <v>37</v>
      </c>
      <c r="AX126" s="13" t="s">
        <v>84</v>
      </c>
      <c r="AY126" s="160" t="s">
        <v>144</v>
      </c>
    </row>
    <row r="127" spans="2:65" s="1" customFormat="1" ht="53.25" customHeight="1">
      <c r="B127" s="33"/>
      <c r="C127" s="128" t="s">
        <v>195</v>
      </c>
      <c r="D127" s="128" t="s">
        <v>147</v>
      </c>
      <c r="E127" s="129" t="s">
        <v>289</v>
      </c>
      <c r="F127" s="130" t="s">
        <v>290</v>
      </c>
      <c r="G127" s="131" t="s">
        <v>246</v>
      </c>
      <c r="H127" s="132">
        <v>260</v>
      </c>
      <c r="I127" s="133"/>
      <c r="J127" s="134">
        <f>ROUND(I127*H127,2)</f>
        <v>0</v>
      </c>
      <c r="K127" s="130" t="s">
        <v>151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</v>
      </c>
      <c r="R127" s="137">
        <f>Q127*H127</f>
        <v>0</v>
      </c>
      <c r="S127" s="137">
        <v>0.098</v>
      </c>
      <c r="T127" s="138">
        <f>S127*H127</f>
        <v>25.48</v>
      </c>
      <c r="AR127" s="139" t="s">
        <v>166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166</v>
      </c>
      <c r="BM127" s="139" t="s">
        <v>291</v>
      </c>
    </row>
    <row r="128" spans="2:47" s="1" customFormat="1" ht="12">
      <c r="B128" s="33"/>
      <c r="D128" s="141" t="s">
        <v>154</v>
      </c>
      <c r="F128" s="142" t="s">
        <v>292</v>
      </c>
      <c r="I128" s="143"/>
      <c r="L128" s="33"/>
      <c r="M128" s="144"/>
      <c r="T128" s="54"/>
      <c r="AT128" s="18" t="s">
        <v>154</v>
      </c>
      <c r="AU128" s="18" t="s">
        <v>86</v>
      </c>
    </row>
    <row r="129" spans="2:51" s="12" customFormat="1" ht="12">
      <c r="B129" s="152"/>
      <c r="D129" s="145" t="s">
        <v>249</v>
      </c>
      <c r="E129" s="153" t="s">
        <v>19</v>
      </c>
      <c r="F129" s="154" t="s">
        <v>293</v>
      </c>
      <c r="H129" s="155">
        <v>260</v>
      </c>
      <c r="I129" s="156"/>
      <c r="L129" s="152"/>
      <c r="M129" s="157"/>
      <c r="T129" s="158"/>
      <c r="AT129" s="153" t="s">
        <v>249</v>
      </c>
      <c r="AU129" s="153" t="s">
        <v>86</v>
      </c>
      <c r="AV129" s="12" t="s">
        <v>86</v>
      </c>
      <c r="AW129" s="12" t="s">
        <v>37</v>
      </c>
      <c r="AX129" s="12" t="s">
        <v>76</v>
      </c>
      <c r="AY129" s="153" t="s">
        <v>144</v>
      </c>
    </row>
    <row r="130" spans="2:51" s="13" customFormat="1" ht="12">
      <c r="B130" s="159"/>
      <c r="D130" s="145" t="s">
        <v>249</v>
      </c>
      <c r="E130" s="160" t="s">
        <v>19</v>
      </c>
      <c r="F130" s="161" t="s">
        <v>251</v>
      </c>
      <c r="H130" s="162">
        <v>260</v>
      </c>
      <c r="I130" s="163"/>
      <c r="L130" s="159"/>
      <c r="M130" s="164"/>
      <c r="T130" s="165"/>
      <c r="AT130" s="160" t="s">
        <v>249</v>
      </c>
      <c r="AU130" s="160" t="s">
        <v>86</v>
      </c>
      <c r="AV130" s="13" t="s">
        <v>166</v>
      </c>
      <c r="AW130" s="13" t="s">
        <v>37</v>
      </c>
      <c r="AX130" s="13" t="s">
        <v>84</v>
      </c>
      <c r="AY130" s="160" t="s">
        <v>144</v>
      </c>
    </row>
    <row r="131" spans="2:65" s="1" customFormat="1" ht="47.4" customHeight="1">
      <c r="B131" s="33"/>
      <c r="C131" s="128" t="s">
        <v>201</v>
      </c>
      <c r="D131" s="128" t="s">
        <v>147</v>
      </c>
      <c r="E131" s="129" t="s">
        <v>294</v>
      </c>
      <c r="F131" s="130" t="s">
        <v>295</v>
      </c>
      <c r="G131" s="131" t="s">
        <v>246</v>
      </c>
      <c r="H131" s="132">
        <v>869</v>
      </c>
      <c r="I131" s="133"/>
      <c r="J131" s="134">
        <f>ROUND(I131*H131,2)</f>
        <v>0</v>
      </c>
      <c r="K131" s="130" t="s">
        <v>151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9E-05</v>
      </c>
      <c r="R131" s="137">
        <f>Q131*H131</f>
        <v>0.07821</v>
      </c>
      <c r="S131" s="137">
        <v>0.115</v>
      </c>
      <c r="T131" s="138">
        <f>S131*H131</f>
        <v>99.935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296</v>
      </c>
    </row>
    <row r="132" spans="2:47" s="1" customFormat="1" ht="12">
      <c r="B132" s="33"/>
      <c r="D132" s="141" t="s">
        <v>154</v>
      </c>
      <c r="F132" s="142" t="s">
        <v>297</v>
      </c>
      <c r="I132" s="143"/>
      <c r="L132" s="33"/>
      <c r="M132" s="144"/>
      <c r="T132" s="54"/>
      <c r="AT132" s="18" t="s">
        <v>154</v>
      </c>
      <c r="AU132" s="18" t="s">
        <v>86</v>
      </c>
    </row>
    <row r="133" spans="2:51" s="12" customFormat="1" ht="12">
      <c r="B133" s="152"/>
      <c r="D133" s="145" t="s">
        <v>249</v>
      </c>
      <c r="E133" s="153" t="s">
        <v>19</v>
      </c>
      <c r="F133" s="154" t="s">
        <v>298</v>
      </c>
      <c r="H133" s="155">
        <v>583</v>
      </c>
      <c r="I133" s="156"/>
      <c r="L133" s="152"/>
      <c r="M133" s="157"/>
      <c r="T133" s="158"/>
      <c r="AT133" s="153" t="s">
        <v>249</v>
      </c>
      <c r="AU133" s="153" t="s">
        <v>86</v>
      </c>
      <c r="AV133" s="12" t="s">
        <v>86</v>
      </c>
      <c r="AW133" s="12" t="s">
        <v>37</v>
      </c>
      <c r="AX133" s="12" t="s">
        <v>76</v>
      </c>
      <c r="AY133" s="153" t="s">
        <v>144</v>
      </c>
    </row>
    <row r="134" spans="2:51" s="12" customFormat="1" ht="12">
      <c r="B134" s="152"/>
      <c r="D134" s="145" t="s">
        <v>249</v>
      </c>
      <c r="E134" s="153" t="s">
        <v>19</v>
      </c>
      <c r="F134" s="154" t="s">
        <v>299</v>
      </c>
      <c r="H134" s="155">
        <v>286</v>
      </c>
      <c r="I134" s="156"/>
      <c r="L134" s="152"/>
      <c r="M134" s="157"/>
      <c r="T134" s="158"/>
      <c r="AT134" s="153" t="s">
        <v>249</v>
      </c>
      <c r="AU134" s="153" t="s">
        <v>86</v>
      </c>
      <c r="AV134" s="12" t="s">
        <v>86</v>
      </c>
      <c r="AW134" s="12" t="s">
        <v>37</v>
      </c>
      <c r="AX134" s="12" t="s">
        <v>76</v>
      </c>
      <c r="AY134" s="153" t="s">
        <v>144</v>
      </c>
    </row>
    <row r="135" spans="2:51" s="13" customFormat="1" ht="12">
      <c r="B135" s="159"/>
      <c r="D135" s="145" t="s">
        <v>249</v>
      </c>
      <c r="E135" s="160" t="s">
        <v>19</v>
      </c>
      <c r="F135" s="161" t="s">
        <v>251</v>
      </c>
      <c r="H135" s="162">
        <v>869</v>
      </c>
      <c r="I135" s="163"/>
      <c r="L135" s="159"/>
      <c r="M135" s="164"/>
      <c r="T135" s="165"/>
      <c r="AT135" s="160" t="s">
        <v>249</v>
      </c>
      <c r="AU135" s="160" t="s">
        <v>86</v>
      </c>
      <c r="AV135" s="13" t="s">
        <v>166</v>
      </c>
      <c r="AW135" s="13" t="s">
        <v>37</v>
      </c>
      <c r="AX135" s="13" t="s">
        <v>84</v>
      </c>
      <c r="AY135" s="160" t="s">
        <v>144</v>
      </c>
    </row>
    <row r="136" spans="2:65" s="1" customFormat="1" ht="53.25" customHeight="1">
      <c r="B136" s="33"/>
      <c r="C136" s="128" t="s">
        <v>208</v>
      </c>
      <c r="D136" s="128" t="s">
        <v>147</v>
      </c>
      <c r="E136" s="129" t="s">
        <v>300</v>
      </c>
      <c r="F136" s="130" t="s">
        <v>301</v>
      </c>
      <c r="G136" s="131" t="s">
        <v>246</v>
      </c>
      <c r="H136" s="132">
        <v>816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0.00016</v>
      </c>
      <c r="R136" s="137">
        <f>Q136*H136</f>
        <v>0.13056</v>
      </c>
      <c r="S136" s="137">
        <v>0.23</v>
      </c>
      <c r="T136" s="138">
        <f>S136*H136</f>
        <v>187.68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302</v>
      </c>
    </row>
    <row r="137" spans="2:47" s="1" customFormat="1" ht="12">
      <c r="B137" s="33"/>
      <c r="D137" s="141" t="s">
        <v>154</v>
      </c>
      <c r="F137" s="142" t="s">
        <v>303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51" s="12" customFormat="1" ht="12">
      <c r="B138" s="152"/>
      <c r="D138" s="145" t="s">
        <v>249</v>
      </c>
      <c r="E138" s="153" t="s">
        <v>19</v>
      </c>
      <c r="F138" s="154" t="s">
        <v>304</v>
      </c>
      <c r="H138" s="155">
        <v>530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51" s="12" customFormat="1" ht="12">
      <c r="B139" s="152"/>
      <c r="D139" s="145" t="s">
        <v>249</v>
      </c>
      <c r="E139" s="153" t="s">
        <v>19</v>
      </c>
      <c r="F139" s="154" t="s">
        <v>305</v>
      </c>
      <c r="H139" s="155">
        <v>286</v>
      </c>
      <c r="I139" s="156"/>
      <c r="L139" s="152"/>
      <c r="M139" s="157"/>
      <c r="T139" s="158"/>
      <c r="AT139" s="153" t="s">
        <v>249</v>
      </c>
      <c r="AU139" s="153" t="s">
        <v>86</v>
      </c>
      <c r="AV139" s="12" t="s">
        <v>86</v>
      </c>
      <c r="AW139" s="12" t="s">
        <v>37</v>
      </c>
      <c r="AX139" s="12" t="s">
        <v>76</v>
      </c>
      <c r="AY139" s="153" t="s">
        <v>144</v>
      </c>
    </row>
    <row r="140" spans="2:51" s="13" customFormat="1" ht="12">
      <c r="B140" s="159"/>
      <c r="D140" s="145" t="s">
        <v>249</v>
      </c>
      <c r="E140" s="160" t="s">
        <v>19</v>
      </c>
      <c r="F140" s="161" t="s">
        <v>251</v>
      </c>
      <c r="H140" s="162">
        <v>816</v>
      </c>
      <c r="I140" s="163"/>
      <c r="L140" s="159"/>
      <c r="M140" s="164"/>
      <c r="T140" s="165"/>
      <c r="AT140" s="160" t="s">
        <v>249</v>
      </c>
      <c r="AU140" s="160" t="s">
        <v>86</v>
      </c>
      <c r="AV140" s="13" t="s">
        <v>166</v>
      </c>
      <c r="AW140" s="13" t="s">
        <v>37</v>
      </c>
      <c r="AX140" s="13" t="s">
        <v>84</v>
      </c>
      <c r="AY140" s="160" t="s">
        <v>144</v>
      </c>
    </row>
    <row r="141" spans="2:65" s="1" customFormat="1" ht="42.6" customHeight="1">
      <c r="B141" s="33"/>
      <c r="C141" s="128" t="s">
        <v>214</v>
      </c>
      <c r="D141" s="128" t="s">
        <v>147</v>
      </c>
      <c r="E141" s="129" t="s">
        <v>306</v>
      </c>
      <c r="F141" s="130" t="s">
        <v>307</v>
      </c>
      <c r="G141" s="131" t="s">
        <v>308</v>
      </c>
      <c r="H141" s="132">
        <v>181</v>
      </c>
      <c r="I141" s="133"/>
      <c r="J141" s="134">
        <f>ROUND(I141*H141,2)</f>
        <v>0</v>
      </c>
      <c r="K141" s="130" t="s">
        <v>151</v>
      </c>
      <c r="L141" s="33"/>
      <c r="M141" s="135" t="s">
        <v>19</v>
      </c>
      <c r="N141" s="136" t="s">
        <v>47</v>
      </c>
      <c r="P141" s="137">
        <f>O141*H141</f>
        <v>0</v>
      </c>
      <c r="Q141" s="137">
        <v>0</v>
      </c>
      <c r="R141" s="137">
        <f>Q141*H141</f>
        <v>0</v>
      </c>
      <c r="S141" s="137">
        <v>0.23</v>
      </c>
      <c r="T141" s="138">
        <f>S141*H141</f>
        <v>41.63</v>
      </c>
      <c r="AR141" s="139" t="s">
        <v>166</v>
      </c>
      <c r="AT141" s="139" t="s">
        <v>147</v>
      </c>
      <c r="AU141" s="139" t="s">
        <v>86</v>
      </c>
      <c r="AY141" s="18" t="s">
        <v>144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84</v>
      </c>
      <c r="BK141" s="140">
        <f>ROUND(I141*H141,2)</f>
        <v>0</v>
      </c>
      <c r="BL141" s="18" t="s">
        <v>166</v>
      </c>
      <c r="BM141" s="139" t="s">
        <v>309</v>
      </c>
    </row>
    <row r="142" spans="2:47" s="1" customFormat="1" ht="12">
      <c r="B142" s="33"/>
      <c r="D142" s="141" t="s">
        <v>154</v>
      </c>
      <c r="F142" s="142" t="s">
        <v>310</v>
      </c>
      <c r="I142" s="143"/>
      <c r="L142" s="33"/>
      <c r="M142" s="144"/>
      <c r="T142" s="54"/>
      <c r="AT142" s="18" t="s">
        <v>154</v>
      </c>
      <c r="AU142" s="18" t="s">
        <v>86</v>
      </c>
    </row>
    <row r="143" spans="2:51" s="12" customFormat="1" ht="12">
      <c r="B143" s="152"/>
      <c r="D143" s="145" t="s">
        <v>249</v>
      </c>
      <c r="E143" s="153" t="s">
        <v>19</v>
      </c>
      <c r="F143" s="154" t="s">
        <v>311</v>
      </c>
      <c r="H143" s="155">
        <v>181</v>
      </c>
      <c r="I143" s="156"/>
      <c r="L143" s="152"/>
      <c r="M143" s="157"/>
      <c r="T143" s="158"/>
      <c r="AT143" s="153" t="s">
        <v>249</v>
      </c>
      <c r="AU143" s="153" t="s">
        <v>86</v>
      </c>
      <c r="AV143" s="12" t="s">
        <v>86</v>
      </c>
      <c r="AW143" s="12" t="s">
        <v>37</v>
      </c>
      <c r="AX143" s="12" t="s">
        <v>76</v>
      </c>
      <c r="AY143" s="153" t="s">
        <v>144</v>
      </c>
    </row>
    <row r="144" spans="2:51" s="13" customFormat="1" ht="12">
      <c r="B144" s="159"/>
      <c r="D144" s="145" t="s">
        <v>249</v>
      </c>
      <c r="E144" s="160" t="s">
        <v>19</v>
      </c>
      <c r="F144" s="161" t="s">
        <v>251</v>
      </c>
      <c r="H144" s="162">
        <v>181</v>
      </c>
      <c r="I144" s="163"/>
      <c r="L144" s="159"/>
      <c r="M144" s="164"/>
      <c r="T144" s="165"/>
      <c r="AT144" s="160" t="s">
        <v>249</v>
      </c>
      <c r="AU144" s="160" t="s">
        <v>86</v>
      </c>
      <c r="AV144" s="13" t="s">
        <v>166</v>
      </c>
      <c r="AW144" s="13" t="s">
        <v>37</v>
      </c>
      <c r="AX144" s="13" t="s">
        <v>84</v>
      </c>
      <c r="AY144" s="160" t="s">
        <v>144</v>
      </c>
    </row>
    <row r="145" spans="2:65" s="1" customFormat="1" ht="42.6" customHeight="1">
      <c r="B145" s="33"/>
      <c r="C145" s="128" t="s">
        <v>221</v>
      </c>
      <c r="D145" s="128" t="s">
        <v>147</v>
      </c>
      <c r="E145" s="129" t="s">
        <v>312</v>
      </c>
      <c r="F145" s="130" t="s">
        <v>313</v>
      </c>
      <c r="G145" s="131" t="s">
        <v>308</v>
      </c>
      <c r="H145" s="132">
        <v>377</v>
      </c>
      <c r="I145" s="133"/>
      <c r="J145" s="134">
        <f>ROUND(I145*H145,2)</f>
        <v>0</v>
      </c>
      <c r="K145" s="130" t="s">
        <v>151</v>
      </c>
      <c r="L145" s="33"/>
      <c r="M145" s="135" t="s">
        <v>19</v>
      </c>
      <c r="N145" s="136" t="s">
        <v>47</v>
      </c>
      <c r="P145" s="137">
        <f>O145*H145</f>
        <v>0</v>
      </c>
      <c r="Q145" s="137">
        <v>0</v>
      </c>
      <c r="R145" s="137">
        <f>Q145*H145</f>
        <v>0</v>
      </c>
      <c r="S145" s="137">
        <v>0.205</v>
      </c>
      <c r="T145" s="138">
        <f>S145*H145</f>
        <v>77.285</v>
      </c>
      <c r="AR145" s="139" t="s">
        <v>166</v>
      </c>
      <c r="AT145" s="139" t="s">
        <v>147</v>
      </c>
      <c r="AU145" s="139" t="s">
        <v>86</v>
      </c>
      <c r="AY145" s="18" t="s">
        <v>144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8" t="s">
        <v>84</v>
      </c>
      <c r="BK145" s="140">
        <f>ROUND(I145*H145,2)</f>
        <v>0</v>
      </c>
      <c r="BL145" s="18" t="s">
        <v>166</v>
      </c>
      <c r="BM145" s="139" t="s">
        <v>314</v>
      </c>
    </row>
    <row r="146" spans="2:47" s="1" customFormat="1" ht="12">
      <c r="B146" s="33"/>
      <c r="D146" s="141" t="s">
        <v>154</v>
      </c>
      <c r="F146" s="142" t="s">
        <v>315</v>
      </c>
      <c r="I146" s="143"/>
      <c r="L146" s="33"/>
      <c r="M146" s="144"/>
      <c r="T146" s="54"/>
      <c r="AT146" s="18" t="s">
        <v>154</v>
      </c>
      <c r="AU146" s="18" t="s">
        <v>86</v>
      </c>
    </row>
    <row r="147" spans="2:51" s="12" customFormat="1" ht="12">
      <c r="B147" s="152"/>
      <c r="D147" s="145" t="s">
        <v>249</v>
      </c>
      <c r="E147" s="153" t="s">
        <v>19</v>
      </c>
      <c r="F147" s="154" t="s">
        <v>316</v>
      </c>
      <c r="H147" s="155">
        <v>377</v>
      </c>
      <c r="I147" s="156"/>
      <c r="L147" s="152"/>
      <c r="M147" s="157"/>
      <c r="T147" s="158"/>
      <c r="AT147" s="153" t="s">
        <v>249</v>
      </c>
      <c r="AU147" s="153" t="s">
        <v>86</v>
      </c>
      <c r="AV147" s="12" t="s">
        <v>86</v>
      </c>
      <c r="AW147" s="12" t="s">
        <v>37</v>
      </c>
      <c r="AX147" s="12" t="s">
        <v>84</v>
      </c>
      <c r="AY147" s="153" t="s">
        <v>144</v>
      </c>
    </row>
    <row r="148" spans="2:65" s="1" customFormat="1" ht="23.7" customHeight="1">
      <c r="B148" s="33"/>
      <c r="C148" s="128" t="s">
        <v>225</v>
      </c>
      <c r="D148" s="128" t="s">
        <v>147</v>
      </c>
      <c r="E148" s="129" t="s">
        <v>317</v>
      </c>
      <c r="F148" s="130" t="s">
        <v>318</v>
      </c>
      <c r="G148" s="131" t="s">
        <v>246</v>
      </c>
      <c r="H148" s="132">
        <v>1485</v>
      </c>
      <c r="I148" s="133"/>
      <c r="J148" s="134">
        <f>ROUND(I148*H148,2)</f>
        <v>0</v>
      </c>
      <c r="K148" s="130" t="s">
        <v>151</v>
      </c>
      <c r="L148" s="33"/>
      <c r="M148" s="135" t="s">
        <v>19</v>
      </c>
      <c r="N148" s="136" t="s">
        <v>47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166</v>
      </c>
      <c r="AT148" s="139" t="s">
        <v>147</v>
      </c>
      <c r="AU148" s="139" t="s">
        <v>86</v>
      </c>
      <c r="AY148" s="18" t="s">
        <v>144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84</v>
      </c>
      <c r="BK148" s="140">
        <f>ROUND(I148*H148,2)</f>
        <v>0</v>
      </c>
      <c r="BL148" s="18" t="s">
        <v>166</v>
      </c>
      <c r="BM148" s="139" t="s">
        <v>319</v>
      </c>
    </row>
    <row r="149" spans="2:47" s="1" customFormat="1" ht="12">
      <c r="B149" s="33"/>
      <c r="D149" s="141" t="s">
        <v>154</v>
      </c>
      <c r="F149" s="142" t="s">
        <v>320</v>
      </c>
      <c r="I149" s="143"/>
      <c r="L149" s="33"/>
      <c r="M149" s="144"/>
      <c r="T149" s="54"/>
      <c r="AT149" s="18" t="s">
        <v>154</v>
      </c>
      <c r="AU149" s="18" t="s">
        <v>86</v>
      </c>
    </row>
    <row r="150" spans="2:51" s="12" customFormat="1" ht="12">
      <c r="B150" s="152"/>
      <c r="D150" s="145" t="s">
        <v>249</v>
      </c>
      <c r="E150" s="153" t="s">
        <v>19</v>
      </c>
      <c r="F150" s="154" t="s">
        <v>321</v>
      </c>
      <c r="H150" s="155">
        <v>1485</v>
      </c>
      <c r="I150" s="156"/>
      <c r="L150" s="152"/>
      <c r="M150" s="157"/>
      <c r="T150" s="158"/>
      <c r="AT150" s="153" t="s">
        <v>249</v>
      </c>
      <c r="AU150" s="153" t="s">
        <v>86</v>
      </c>
      <c r="AV150" s="12" t="s">
        <v>86</v>
      </c>
      <c r="AW150" s="12" t="s">
        <v>37</v>
      </c>
      <c r="AX150" s="12" t="s">
        <v>76</v>
      </c>
      <c r="AY150" s="153" t="s">
        <v>144</v>
      </c>
    </row>
    <row r="151" spans="2:51" s="13" customFormat="1" ht="12">
      <c r="B151" s="159"/>
      <c r="D151" s="145" t="s">
        <v>249</v>
      </c>
      <c r="E151" s="160" t="s">
        <v>19</v>
      </c>
      <c r="F151" s="161" t="s">
        <v>251</v>
      </c>
      <c r="H151" s="162">
        <v>1485</v>
      </c>
      <c r="I151" s="163"/>
      <c r="L151" s="159"/>
      <c r="M151" s="164"/>
      <c r="T151" s="165"/>
      <c r="AT151" s="160" t="s">
        <v>249</v>
      </c>
      <c r="AU151" s="160" t="s">
        <v>86</v>
      </c>
      <c r="AV151" s="13" t="s">
        <v>166</v>
      </c>
      <c r="AW151" s="13" t="s">
        <v>37</v>
      </c>
      <c r="AX151" s="13" t="s">
        <v>84</v>
      </c>
      <c r="AY151" s="160" t="s">
        <v>144</v>
      </c>
    </row>
    <row r="152" spans="2:65" s="1" customFormat="1" ht="36.6" customHeight="1">
      <c r="B152" s="33"/>
      <c r="C152" s="128" t="s">
        <v>8</v>
      </c>
      <c r="D152" s="128" t="s">
        <v>147</v>
      </c>
      <c r="E152" s="129" t="s">
        <v>322</v>
      </c>
      <c r="F152" s="130" t="s">
        <v>323</v>
      </c>
      <c r="G152" s="131" t="s">
        <v>324</v>
      </c>
      <c r="H152" s="132">
        <v>1304.8</v>
      </c>
      <c r="I152" s="133"/>
      <c r="J152" s="134">
        <f>ROUND(I152*H152,2)</f>
        <v>0</v>
      </c>
      <c r="K152" s="130" t="s">
        <v>151</v>
      </c>
      <c r="L152" s="33"/>
      <c r="M152" s="135" t="s">
        <v>19</v>
      </c>
      <c r="N152" s="136" t="s">
        <v>47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166</v>
      </c>
      <c r="AT152" s="139" t="s">
        <v>147</v>
      </c>
      <c r="AU152" s="139" t="s">
        <v>86</v>
      </c>
      <c r="AY152" s="18" t="s">
        <v>144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8" t="s">
        <v>84</v>
      </c>
      <c r="BK152" s="140">
        <f>ROUND(I152*H152,2)</f>
        <v>0</v>
      </c>
      <c r="BL152" s="18" t="s">
        <v>166</v>
      </c>
      <c r="BM152" s="139" t="s">
        <v>325</v>
      </c>
    </row>
    <row r="153" spans="2:47" s="1" customFormat="1" ht="12">
      <c r="B153" s="33"/>
      <c r="D153" s="141" t="s">
        <v>154</v>
      </c>
      <c r="F153" s="142" t="s">
        <v>326</v>
      </c>
      <c r="I153" s="143"/>
      <c r="L153" s="33"/>
      <c r="M153" s="144"/>
      <c r="T153" s="54"/>
      <c r="AT153" s="18" t="s">
        <v>154</v>
      </c>
      <c r="AU153" s="18" t="s">
        <v>86</v>
      </c>
    </row>
    <row r="154" spans="2:51" s="12" customFormat="1" ht="12">
      <c r="B154" s="152"/>
      <c r="D154" s="145" t="s">
        <v>249</v>
      </c>
      <c r="E154" s="153" t="s">
        <v>19</v>
      </c>
      <c r="F154" s="154" t="s">
        <v>327</v>
      </c>
      <c r="H154" s="155">
        <v>186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51" s="12" customFormat="1" ht="20.4">
      <c r="B155" s="152"/>
      <c r="D155" s="145" t="s">
        <v>249</v>
      </c>
      <c r="E155" s="153" t="s">
        <v>19</v>
      </c>
      <c r="F155" s="154" t="s">
        <v>328</v>
      </c>
      <c r="H155" s="155">
        <v>280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51" s="12" customFormat="1" ht="20.4">
      <c r="B156" s="152"/>
      <c r="D156" s="145" t="s">
        <v>249</v>
      </c>
      <c r="E156" s="153" t="s">
        <v>19</v>
      </c>
      <c r="F156" s="154" t="s">
        <v>329</v>
      </c>
      <c r="H156" s="155">
        <v>838.8</v>
      </c>
      <c r="I156" s="156"/>
      <c r="L156" s="152"/>
      <c r="M156" s="157"/>
      <c r="T156" s="158"/>
      <c r="AT156" s="153" t="s">
        <v>249</v>
      </c>
      <c r="AU156" s="153" t="s">
        <v>86</v>
      </c>
      <c r="AV156" s="12" t="s">
        <v>86</v>
      </c>
      <c r="AW156" s="12" t="s">
        <v>37</v>
      </c>
      <c r="AX156" s="12" t="s">
        <v>76</v>
      </c>
      <c r="AY156" s="153" t="s">
        <v>144</v>
      </c>
    </row>
    <row r="157" spans="2:51" s="13" customFormat="1" ht="12">
      <c r="B157" s="159"/>
      <c r="D157" s="145" t="s">
        <v>249</v>
      </c>
      <c r="E157" s="160" t="s">
        <v>19</v>
      </c>
      <c r="F157" s="161" t="s">
        <v>251</v>
      </c>
      <c r="H157" s="162">
        <v>1304.8</v>
      </c>
      <c r="I157" s="163"/>
      <c r="L157" s="159"/>
      <c r="M157" s="164"/>
      <c r="T157" s="165"/>
      <c r="AT157" s="160" t="s">
        <v>249</v>
      </c>
      <c r="AU157" s="160" t="s">
        <v>86</v>
      </c>
      <c r="AV157" s="13" t="s">
        <v>166</v>
      </c>
      <c r="AW157" s="13" t="s">
        <v>37</v>
      </c>
      <c r="AX157" s="13" t="s">
        <v>84</v>
      </c>
      <c r="AY157" s="160" t="s">
        <v>144</v>
      </c>
    </row>
    <row r="158" spans="2:65" s="1" customFormat="1" ht="53.25" customHeight="1">
      <c r="B158" s="33"/>
      <c r="C158" s="128" t="s">
        <v>330</v>
      </c>
      <c r="D158" s="128" t="s">
        <v>147</v>
      </c>
      <c r="E158" s="129" t="s">
        <v>331</v>
      </c>
      <c r="F158" s="130" t="s">
        <v>332</v>
      </c>
      <c r="G158" s="131" t="s">
        <v>324</v>
      </c>
      <c r="H158" s="132">
        <v>0.54</v>
      </c>
      <c r="I158" s="133"/>
      <c r="J158" s="134">
        <f>ROUND(I158*H158,2)</f>
        <v>0</v>
      </c>
      <c r="K158" s="130" t="s">
        <v>151</v>
      </c>
      <c r="L158" s="33"/>
      <c r="M158" s="135" t="s">
        <v>19</v>
      </c>
      <c r="N158" s="136" t="s">
        <v>47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166</v>
      </c>
      <c r="AT158" s="139" t="s">
        <v>147</v>
      </c>
      <c r="AU158" s="139" t="s">
        <v>86</v>
      </c>
      <c r="AY158" s="18" t="s">
        <v>144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84</v>
      </c>
      <c r="BK158" s="140">
        <f>ROUND(I158*H158,2)</f>
        <v>0</v>
      </c>
      <c r="BL158" s="18" t="s">
        <v>166</v>
      </c>
      <c r="BM158" s="139" t="s">
        <v>333</v>
      </c>
    </row>
    <row r="159" spans="2:47" s="1" customFormat="1" ht="12">
      <c r="B159" s="33"/>
      <c r="D159" s="141" t="s">
        <v>154</v>
      </c>
      <c r="F159" s="142" t="s">
        <v>334</v>
      </c>
      <c r="I159" s="143"/>
      <c r="L159" s="33"/>
      <c r="M159" s="144"/>
      <c r="T159" s="54"/>
      <c r="AT159" s="18" t="s">
        <v>154</v>
      </c>
      <c r="AU159" s="18" t="s">
        <v>86</v>
      </c>
    </row>
    <row r="160" spans="2:51" s="12" customFormat="1" ht="12">
      <c r="B160" s="152"/>
      <c r="D160" s="145" t="s">
        <v>249</v>
      </c>
      <c r="E160" s="153" t="s">
        <v>19</v>
      </c>
      <c r="F160" s="154" t="s">
        <v>335</v>
      </c>
      <c r="H160" s="155">
        <v>0.54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76</v>
      </c>
      <c r="AY160" s="153" t="s">
        <v>144</v>
      </c>
    </row>
    <row r="161" spans="2:51" s="13" customFormat="1" ht="12">
      <c r="B161" s="159"/>
      <c r="D161" s="145" t="s">
        <v>249</v>
      </c>
      <c r="E161" s="160" t="s">
        <v>19</v>
      </c>
      <c r="F161" s="161" t="s">
        <v>251</v>
      </c>
      <c r="H161" s="162">
        <v>0.54</v>
      </c>
      <c r="I161" s="163"/>
      <c r="L161" s="159"/>
      <c r="M161" s="164"/>
      <c r="T161" s="165"/>
      <c r="AT161" s="160" t="s">
        <v>249</v>
      </c>
      <c r="AU161" s="160" t="s">
        <v>86</v>
      </c>
      <c r="AV161" s="13" t="s">
        <v>166</v>
      </c>
      <c r="AW161" s="13" t="s">
        <v>37</v>
      </c>
      <c r="AX161" s="13" t="s">
        <v>84</v>
      </c>
      <c r="AY161" s="160" t="s">
        <v>144</v>
      </c>
    </row>
    <row r="162" spans="2:65" s="1" customFormat="1" ht="42.6" customHeight="1">
      <c r="B162" s="33"/>
      <c r="C162" s="128" t="s">
        <v>336</v>
      </c>
      <c r="D162" s="128" t="s">
        <v>147</v>
      </c>
      <c r="E162" s="129" t="s">
        <v>337</v>
      </c>
      <c r="F162" s="130" t="s">
        <v>338</v>
      </c>
      <c r="G162" s="131" t="s">
        <v>324</v>
      </c>
      <c r="H162" s="132">
        <v>55.53</v>
      </c>
      <c r="I162" s="133"/>
      <c r="J162" s="134">
        <f>ROUND(I162*H162,2)</f>
        <v>0</v>
      </c>
      <c r="K162" s="130" t="s">
        <v>151</v>
      </c>
      <c r="L162" s="33"/>
      <c r="M162" s="135" t="s">
        <v>19</v>
      </c>
      <c r="N162" s="136" t="s">
        <v>47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166</v>
      </c>
      <c r="AT162" s="139" t="s">
        <v>147</v>
      </c>
      <c r="AU162" s="139" t="s">
        <v>86</v>
      </c>
      <c r="AY162" s="18" t="s">
        <v>144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84</v>
      </c>
      <c r="BK162" s="140">
        <f>ROUND(I162*H162,2)</f>
        <v>0</v>
      </c>
      <c r="BL162" s="18" t="s">
        <v>166</v>
      </c>
      <c r="BM162" s="139" t="s">
        <v>339</v>
      </c>
    </row>
    <row r="163" spans="2:47" s="1" customFormat="1" ht="12">
      <c r="B163" s="33"/>
      <c r="D163" s="141" t="s">
        <v>154</v>
      </c>
      <c r="F163" s="142" t="s">
        <v>340</v>
      </c>
      <c r="I163" s="143"/>
      <c r="L163" s="33"/>
      <c r="M163" s="144"/>
      <c r="T163" s="54"/>
      <c r="AT163" s="18" t="s">
        <v>154</v>
      </c>
      <c r="AU163" s="18" t="s">
        <v>86</v>
      </c>
    </row>
    <row r="164" spans="2:51" s="12" customFormat="1" ht="12">
      <c r="B164" s="152"/>
      <c r="D164" s="145" t="s">
        <v>249</v>
      </c>
      <c r="E164" s="153" t="s">
        <v>19</v>
      </c>
      <c r="F164" s="154" t="s">
        <v>341</v>
      </c>
      <c r="H164" s="155">
        <v>18</v>
      </c>
      <c r="I164" s="156"/>
      <c r="L164" s="152"/>
      <c r="M164" s="157"/>
      <c r="T164" s="158"/>
      <c r="AT164" s="153" t="s">
        <v>249</v>
      </c>
      <c r="AU164" s="153" t="s">
        <v>86</v>
      </c>
      <c r="AV164" s="12" t="s">
        <v>86</v>
      </c>
      <c r="AW164" s="12" t="s">
        <v>37</v>
      </c>
      <c r="AX164" s="12" t="s">
        <v>76</v>
      </c>
      <c r="AY164" s="153" t="s">
        <v>144</v>
      </c>
    </row>
    <row r="165" spans="2:51" s="12" customFormat="1" ht="12">
      <c r="B165" s="152"/>
      <c r="D165" s="145" t="s">
        <v>249</v>
      </c>
      <c r="E165" s="153" t="s">
        <v>19</v>
      </c>
      <c r="F165" s="154" t="s">
        <v>342</v>
      </c>
      <c r="H165" s="155">
        <v>37.53</v>
      </c>
      <c r="I165" s="156"/>
      <c r="L165" s="152"/>
      <c r="M165" s="157"/>
      <c r="T165" s="158"/>
      <c r="AT165" s="153" t="s">
        <v>249</v>
      </c>
      <c r="AU165" s="153" t="s">
        <v>86</v>
      </c>
      <c r="AV165" s="12" t="s">
        <v>86</v>
      </c>
      <c r="AW165" s="12" t="s">
        <v>37</v>
      </c>
      <c r="AX165" s="12" t="s">
        <v>76</v>
      </c>
      <c r="AY165" s="153" t="s">
        <v>144</v>
      </c>
    </row>
    <row r="166" spans="2:51" s="13" customFormat="1" ht="12">
      <c r="B166" s="159"/>
      <c r="D166" s="145" t="s">
        <v>249</v>
      </c>
      <c r="E166" s="160" t="s">
        <v>19</v>
      </c>
      <c r="F166" s="161" t="s">
        <v>251</v>
      </c>
      <c r="H166" s="162">
        <v>55.53</v>
      </c>
      <c r="I166" s="163"/>
      <c r="L166" s="159"/>
      <c r="M166" s="164"/>
      <c r="T166" s="165"/>
      <c r="AT166" s="160" t="s">
        <v>249</v>
      </c>
      <c r="AU166" s="160" t="s">
        <v>86</v>
      </c>
      <c r="AV166" s="13" t="s">
        <v>166</v>
      </c>
      <c r="AW166" s="13" t="s">
        <v>37</v>
      </c>
      <c r="AX166" s="13" t="s">
        <v>84</v>
      </c>
      <c r="AY166" s="160" t="s">
        <v>144</v>
      </c>
    </row>
    <row r="167" spans="2:65" s="1" customFormat="1" ht="42.6" customHeight="1">
      <c r="B167" s="33"/>
      <c r="C167" s="128" t="s">
        <v>343</v>
      </c>
      <c r="D167" s="128" t="s">
        <v>147</v>
      </c>
      <c r="E167" s="129" t="s">
        <v>344</v>
      </c>
      <c r="F167" s="130" t="s">
        <v>345</v>
      </c>
      <c r="G167" s="131" t="s">
        <v>324</v>
      </c>
      <c r="H167" s="132">
        <v>125.04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0</v>
      </c>
      <c r="R167" s="137">
        <f>Q167*H167</f>
        <v>0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346</v>
      </c>
    </row>
    <row r="168" spans="2:47" s="1" customFormat="1" ht="12">
      <c r="B168" s="33"/>
      <c r="D168" s="141" t="s">
        <v>154</v>
      </c>
      <c r="F168" s="142" t="s">
        <v>347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51" s="12" customFormat="1" ht="12">
      <c r="B169" s="152"/>
      <c r="D169" s="145" t="s">
        <v>249</v>
      </c>
      <c r="E169" s="153" t="s">
        <v>19</v>
      </c>
      <c r="F169" s="154" t="s">
        <v>348</v>
      </c>
      <c r="H169" s="155">
        <v>114.24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51" s="12" customFormat="1" ht="12">
      <c r="B170" s="152"/>
      <c r="D170" s="145" t="s">
        <v>249</v>
      </c>
      <c r="E170" s="153" t="s">
        <v>19</v>
      </c>
      <c r="F170" s="154" t="s">
        <v>349</v>
      </c>
      <c r="H170" s="155">
        <v>10.8</v>
      </c>
      <c r="I170" s="156"/>
      <c r="L170" s="152"/>
      <c r="M170" s="157"/>
      <c r="T170" s="158"/>
      <c r="AT170" s="153" t="s">
        <v>249</v>
      </c>
      <c r="AU170" s="153" t="s">
        <v>86</v>
      </c>
      <c r="AV170" s="12" t="s">
        <v>86</v>
      </c>
      <c r="AW170" s="12" t="s">
        <v>37</v>
      </c>
      <c r="AX170" s="12" t="s">
        <v>76</v>
      </c>
      <c r="AY170" s="153" t="s">
        <v>144</v>
      </c>
    </row>
    <row r="171" spans="2:51" s="13" customFormat="1" ht="12">
      <c r="B171" s="159"/>
      <c r="D171" s="145" t="s">
        <v>249</v>
      </c>
      <c r="E171" s="160" t="s">
        <v>19</v>
      </c>
      <c r="F171" s="161" t="s">
        <v>251</v>
      </c>
      <c r="H171" s="162">
        <v>125.04</v>
      </c>
      <c r="I171" s="163"/>
      <c r="L171" s="159"/>
      <c r="M171" s="164"/>
      <c r="T171" s="165"/>
      <c r="AT171" s="160" t="s">
        <v>249</v>
      </c>
      <c r="AU171" s="160" t="s">
        <v>86</v>
      </c>
      <c r="AV171" s="13" t="s">
        <v>166</v>
      </c>
      <c r="AW171" s="13" t="s">
        <v>37</v>
      </c>
      <c r="AX171" s="13" t="s">
        <v>84</v>
      </c>
      <c r="AY171" s="160" t="s">
        <v>144</v>
      </c>
    </row>
    <row r="172" spans="2:65" s="1" customFormat="1" ht="60.45" customHeight="1">
      <c r="B172" s="33"/>
      <c r="C172" s="128" t="s">
        <v>350</v>
      </c>
      <c r="D172" s="128" t="s">
        <v>147</v>
      </c>
      <c r="E172" s="129" t="s">
        <v>351</v>
      </c>
      <c r="F172" s="130" t="s">
        <v>352</v>
      </c>
      <c r="G172" s="131" t="s">
        <v>324</v>
      </c>
      <c r="H172" s="132">
        <v>882.15</v>
      </c>
      <c r="I172" s="133"/>
      <c r="J172" s="134">
        <f>ROUND(I172*H172,2)</f>
        <v>0</v>
      </c>
      <c r="K172" s="130" t="s">
        <v>151</v>
      </c>
      <c r="L172" s="33"/>
      <c r="M172" s="135" t="s">
        <v>19</v>
      </c>
      <c r="N172" s="136" t="s">
        <v>47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166</v>
      </c>
      <c r="AT172" s="139" t="s">
        <v>147</v>
      </c>
      <c r="AU172" s="139" t="s">
        <v>86</v>
      </c>
      <c r="AY172" s="18" t="s">
        <v>144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84</v>
      </c>
      <c r="BK172" s="140">
        <f>ROUND(I172*H172,2)</f>
        <v>0</v>
      </c>
      <c r="BL172" s="18" t="s">
        <v>166</v>
      </c>
      <c r="BM172" s="139" t="s">
        <v>353</v>
      </c>
    </row>
    <row r="173" spans="2:47" s="1" customFormat="1" ht="12">
      <c r="B173" s="33"/>
      <c r="D173" s="141" t="s">
        <v>154</v>
      </c>
      <c r="F173" s="142" t="s">
        <v>354</v>
      </c>
      <c r="I173" s="143"/>
      <c r="L173" s="33"/>
      <c r="M173" s="144"/>
      <c r="T173" s="54"/>
      <c r="AT173" s="18" t="s">
        <v>154</v>
      </c>
      <c r="AU173" s="18" t="s">
        <v>86</v>
      </c>
    </row>
    <row r="174" spans="2:51" s="12" customFormat="1" ht="20.4">
      <c r="B174" s="152"/>
      <c r="D174" s="145" t="s">
        <v>249</v>
      </c>
      <c r="E174" s="153" t="s">
        <v>19</v>
      </c>
      <c r="F174" s="154" t="s">
        <v>355</v>
      </c>
      <c r="H174" s="155">
        <v>148.5</v>
      </c>
      <c r="I174" s="156"/>
      <c r="L174" s="152"/>
      <c r="M174" s="157"/>
      <c r="T174" s="158"/>
      <c r="AT174" s="153" t="s">
        <v>249</v>
      </c>
      <c r="AU174" s="153" t="s">
        <v>86</v>
      </c>
      <c r="AV174" s="12" t="s">
        <v>86</v>
      </c>
      <c r="AW174" s="12" t="s">
        <v>37</v>
      </c>
      <c r="AX174" s="12" t="s">
        <v>76</v>
      </c>
      <c r="AY174" s="153" t="s">
        <v>144</v>
      </c>
    </row>
    <row r="175" spans="2:51" s="12" customFormat="1" ht="12">
      <c r="B175" s="152"/>
      <c r="D175" s="145" t="s">
        <v>249</v>
      </c>
      <c r="E175" s="153" t="s">
        <v>19</v>
      </c>
      <c r="F175" s="154" t="s">
        <v>327</v>
      </c>
      <c r="H175" s="155">
        <v>186</v>
      </c>
      <c r="I175" s="156"/>
      <c r="L175" s="152"/>
      <c r="M175" s="157"/>
      <c r="T175" s="158"/>
      <c r="AT175" s="153" t="s">
        <v>249</v>
      </c>
      <c r="AU175" s="153" t="s">
        <v>86</v>
      </c>
      <c r="AV175" s="12" t="s">
        <v>86</v>
      </c>
      <c r="AW175" s="12" t="s">
        <v>37</v>
      </c>
      <c r="AX175" s="12" t="s">
        <v>76</v>
      </c>
      <c r="AY175" s="153" t="s">
        <v>144</v>
      </c>
    </row>
    <row r="176" spans="2:51" s="12" customFormat="1" ht="20.4">
      <c r="B176" s="152"/>
      <c r="D176" s="145" t="s">
        <v>249</v>
      </c>
      <c r="E176" s="153" t="s">
        <v>19</v>
      </c>
      <c r="F176" s="154" t="s">
        <v>328</v>
      </c>
      <c r="H176" s="155">
        <v>280</v>
      </c>
      <c r="I176" s="156"/>
      <c r="L176" s="152"/>
      <c r="M176" s="157"/>
      <c r="T176" s="158"/>
      <c r="AT176" s="153" t="s">
        <v>249</v>
      </c>
      <c r="AU176" s="153" t="s">
        <v>86</v>
      </c>
      <c r="AV176" s="12" t="s">
        <v>86</v>
      </c>
      <c r="AW176" s="12" t="s">
        <v>37</v>
      </c>
      <c r="AX176" s="12" t="s">
        <v>76</v>
      </c>
      <c r="AY176" s="153" t="s">
        <v>144</v>
      </c>
    </row>
    <row r="177" spans="2:51" s="12" customFormat="1" ht="12">
      <c r="B177" s="152"/>
      <c r="D177" s="145" t="s">
        <v>249</v>
      </c>
      <c r="E177" s="153" t="s">
        <v>19</v>
      </c>
      <c r="F177" s="154" t="s">
        <v>356</v>
      </c>
      <c r="H177" s="155">
        <v>55.53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37</v>
      </c>
      <c r="AX177" s="12" t="s">
        <v>76</v>
      </c>
      <c r="AY177" s="153" t="s">
        <v>144</v>
      </c>
    </row>
    <row r="178" spans="2:51" s="12" customFormat="1" ht="12">
      <c r="B178" s="152"/>
      <c r="D178" s="145" t="s">
        <v>249</v>
      </c>
      <c r="E178" s="153" t="s">
        <v>19</v>
      </c>
      <c r="F178" s="154" t="s">
        <v>357</v>
      </c>
      <c r="H178" s="155">
        <v>125.04</v>
      </c>
      <c r="I178" s="156"/>
      <c r="L178" s="152"/>
      <c r="M178" s="157"/>
      <c r="T178" s="158"/>
      <c r="AT178" s="153" t="s">
        <v>249</v>
      </c>
      <c r="AU178" s="153" t="s">
        <v>86</v>
      </c>
      <c r="AV178" s="12" t="s">
        <v>86</v>
      </c>
      <c r="AW178" s="12" t="s">
        <v>37</v>
      </c>
      <c r="AX178" s="12" t="s">
        <v>76</v>
      </c>
      <c r="AY178" s="153" t="s">
        <v>144</v>
      </c>
    </row>
    <row r="179" spans="2:51" s="12" customFormat="1" ht="12">
      <c r="B179" s="152"/>
      <c r="D179" s="145" t="s">
        <v>249</v>
      </c>
      <c r="E179" s="153" t="s">
        <v>19</v>
      </c>
      <c r="F179" s="154" t="s">
        <v>358</v>
      </c>
      <c r="H179" s="155">
        <v>37.08</v>
      </c>
      <c r="I179" s="156"/>
      <c r="L179" s="152"/>
      <c r="M179" s="157"/>
      <c r="T179" s="158"/>
      <c r="AT179" s="153" t="s">
        <v>249</v>
      </c>
      <c r="AU179" s="153" t="s">
        <v>86</v>
      </c>
      <c r="AV179" s="12" t="s">
        <v>86</v>
      </c>
      <c r="AW179" s="12" t="s">
        <v>37</v>
      </c>
      <c r="AX179" s="12" t="s">
        <v>76</v>
      </c>
      <c r="AY179" s="153" t="s">
        <v>144</v>
      </c>
    </row>
    <row r="180" spans="2:51" s="12" customFormat="1" ht="20.4">
      <c r="B180" s="152"/>
      <c r="D180" s="145" t="s">
        <v>249</v>
      </c>
      <c r="E180" s="153" t="s">
        <v>19</v>
      </c>
      <c r="F180" s="154" t="s">
        <v>359</v>
      </c>
      <c r="H180" s="155">
        <v>50</v>
      </c>
      <c r="I180" s="156"/>
      <c r="L180" s="152"/>
      <c r="M180" s="157"/>
      <c r="T180" s="158"/>
      <c r="AT180" s="153" t="s">
        <v>249</v>
      </c>
      <c r="AU180" s="153" t="s">
        <v>86</v>
      </c>
      <c r="AV180" s="12" t="s">
        <v>86</v>
      </c>
      <c r="AW180" s="12" t="s">
        <v>37</v>
      </c>
      <c r="AX180" s="12" t="s">
        <v>76</v>
      </c>
      <c r="AY180" s="153" t="s">
        <v>144</v>
      </c>
    </row>
    <row r="181" spans="2:51" s="13" customFormat="1" ht="12">
      <c r="B181" s="159"/>
      <c r="D181" s="145" t="s">
        <v>249</v>
      </c>
      <c r="E181" s="160" t="s">
        <v>19</v>
      </c>
      <c r="F181" s="161" t="s">
        <v>251</v>
      </c>
      <c r="H181" s="162">
        <v>882.15</v>
      </c>
      <c r="I181" s="163"/>
      <c r="L181" s="159"/>
      <c r="M181" s="164"/>
      <c r="T181" s="165"/>
      <c r="AT181" s="160" t="s">
        <v>249</v>
      </c>
      <c r="AU181" s="160" t="s">
        <v>86</v>
      </c>
      <c r="AV181" s="13" t="s">
        <v>166</v>
      </c>
      <c r="AW181" s="13" t="s">
        <v>37</v>
      </c>
      <c r="AX181" s="13" t="s">
        <v>84</v>
      </c>
      <c r="AY181" s="160" t="s">
        <v>144</v>
      </c>
    </row>
    <row r="182" spans="2:65" s="1" customFormat="1" ht="60.45" customHeight="1">
      <c r="B182" s="33"/>
      <c r="C182" s="128" t="s">
        <v>360</v>
      </c>
      <c r="D182" s="128" t="s">
        <v>147</v>
      </c>
      <c r="E182" s="129" t="s">
        <v>361</v>
      </c>
      <c r="F182" s="130" t="s">
        <v>362</v>
      </c>
      <c r="G182" s="131" t="s">
        <v>324</v>
      </c>
      <c r="H182" s="132">
        <v>0.24</v>
      </c>
      <c r="I182" s="133"/>
      <c r="J182" s="134">
        <f>ROUND(I182*H182,2)</f>
        <v>0</v>
      </c>
      <c r="K182" s="130" t="s">
        <v>151</v>
      </c>
      <c r="L182" s="33"/>
      <c r="M182" s="135" t="s">
        <v>19</v>
      </c>
      <c r="N182" s="136" t="s">
        <v>47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166</v>
      </c>
      <c r="AT182" s="139" t="s">
        <v>147</v>
      </c>
      <c r="AU182" s="139" t="s">
        <v>86</v>
      </c>
      <c r="AY182" s="18" t="s">
        <v>144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8" t="s">
        <v>84</v>
      </c>
      <c r="BK182" s="140">
        <f>ROUND(I182*H182,2)</f>
        <v>0</v>
      </c>
      <c r="BL182" s="18" t="s">
        <v>166</v>
      </c>
      <c r="BM182" s="139" t="s">
        <v>363</v>
      </c>
    </row>
    <row r="183" spans="2:47" s="1" customFormat="1" ht="12">
      <c r="B183" s="33"/>
      <c r="D183" s="141" t="s">
        <v>154</v>
      </c>
      <c r="F183" s="142" t="s">
        <v>364</v>
      </c>
      <c r="I183" s="143"/>
      <c r="L183" s="33"/>
      <c r="M183" s="144"/>
      <c r="T183" s="54"/>
      <c r="AT183" s="18" t="s">
        <v>154</v>
      </c>
      <c r="AU183" s="18" t="s">
        <v>86</v>
      </c>
    </row>
    <row r="184" spans="2:51" s="12" customFormat="1" ht="12">
      <c r="B184" s="152"/>
      <c r="D184" s="145" t="s">
        <v>249</v>
      </c>
      <c r="E184" s="153" t="s">
        <v>19</v>
      </c>
      <c r="F184" s="154" t="s">
        <v>365</v>
      </c>
      <c r="H184" s="155">
        <v>0.24</v>
      </c>
      <c r="I184" s="156"/>
      <c r="L184" s="152"/>
      <c r="M184" s="157"/>
      <c r="T184" s="158"/>
      <c r="AT184" s="153" t="s">
        <v>249</v>
      </c>
      <c r="AU184" s="153" t="s">
        <v>86</v>
      </c>
      <c r="AV184" s="12" t="s">
        <v>86</v>
      </c>
      <c r="AW184" s="12" t="s">
        <v>37</v>
      </c>
      <c r="AX184" s="12" t="s">
        <v>76</v>
      </c>
      <c r="AY184" s="153" t="s">
        <v>144</v>
      </c>
    </row>
    <row r="185" spans="2:51" s="13" customFormat="1" ht="12">
      <c r="B185" s="159"/>
      <c r="D185" s="145" t="s">
        <v>249</v>
      </c>
      <c r="E185" s="160" t="s">
        <v>19</v>
      </c>
      <c r="F185" s="161" t="s">
        <v>251</v>
      </c>
      <c r="H185" s="162">
        <v>0.24</v>
      </c>
      <c r="I185" s="163"/>
      <c r="L185" s="159"/>
      <c r="M185" s="164"/>
      <c r="T185" s="165"/>
      <c r="AT185" s="160" t="s">
        <v>249</v>
      </c>
      <c r="AU185" s="160" t="s">
        <v>86</v>
      </c>
      <c r="AV185" s="13" t="s">
        <v>166</v>
      </c>
      <c r="AW185" s="13" t="s">
        <v>37</v>
      </c>
      <c r="AX185" s="13" t="s">
        <v>84</v>
      </c>
      <c r="AY185" s="160" t="s">
        <v>144</v>
      </c>
    </row>
    <row r="186" spans="2:65" s="1" customFormat="1" ht="60.45" customHeight="1">
      <c r="B186" s="33"/>
      <c r="C186" s="128" t="s">
        <v>366</v>
      </c>
      <c r="D186" s="128" t="s">
        <v>147</v>
      </c>
      <c r="E186" s="129" t="s">
        <v>361</v>
      </c>
      <c r="F186" s="130" t="s">
        <v>362</v>
      </c>
      <c r="G186" s="131" t="s">
        <v>324</v>
      </c>
      <c r="H186" s="132">
        <v>838.8</v>
      </c>
      <c r="I186" s="133"/>
      <c r="J186" s="134">
        <f>ROUND(I186*H186,2)</f>
        <v>0</v>
      </c>
      <c r="K186" s="130" t="s">
        <v>151</v>
      </c>
      <c r="L186" s="33"/>
      <c r="M186" s="135" t="s">
        <v>19</v>
      </c>
      <c r="N186" s="136" t="s">
        <v>47</v>
      </c>
      <c r="P186" s="137">
        <f>O186*H186</f>
        <v>0</v>
      </c>
      <c r="Q186" s="137">
        <v>0</v>
      </c>
      <c r="R186" s="137">
        <f>Q186*H186</f>
        <v>0</v>
      </c>
      <c r="S186" s="137">
        <v>0</v>
      </c>
      <c r="T186" s="138">
        <f>S186*H186</f>
        <v>0</v>
      </c>
      <c r="AR186" s="139" t="s">
        <v>166</v>
      </c>
      <c r="AT186" s="139" t="s">
        <v>147</v>
      </c>
      <c r="AU186" s="139" t="s">
        <v>86</v>
      </c>
      <c r="AY186" s="18" t="s">
        <v>144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8" t="s">
        <v>84</v>
      </c>
      <c r="BK186" s="140">
        <f>ROUND(I186*H186,2)</f>
        <v>0</v>
      </c>
      <c r="BL186" s="18" t="s">
        <v>166</v>
      </c>
      <c r="BM186" s="139" t="s">
        <v>367</v>
      </c>
    </row>
    <row r="187" spans="2:47" s="1" customFormat="1" ht="12">
      <c r="B187" s="33"/>
      <c r="D187" s="141" t="s">
        <v>154</v>
      </c>
      <c r="F187" s="142" t="s">
        <v>364</v>
      </c>
      <c r="I187" s="143"/>
      <c r="L187" s="33"/>
      <c r="M187" s="144"/>
      <c r="T187" s="54"/>
      <c r="AT187" s="18" t="s">
        <v>154</v>
      </c>
      <c r="AU187" s="18" t="s">
        <v>86</v>
      </c>
    </row>
    <row r="188" spans="2:51" s="12" customFormat="1" ht="20.4">
      <c r="B188" s="152"/>
      <c r="D188" s="145" t="s">
        <v>249</v>
      </c>
      <c r="E188" s="153" t="s">
        <v>19</v>
      </c>
      <c r="F188" s="154" t="s">
        <v>368</v>
      </c>
      <c r="H188" s="155">
        <v>838.8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37</v>
      </c>
      <c r="AX188" s="12" t="s">
        <v>76</v>
      </c>
      <c r="AY188" s="153" t="s">
        <v>144</v>
      </c>
    </row>
    <row r="189" spans="2:51" s="13" customFormat="1" ht="12">
      <c r="B189" s="159"/>
      <c r="D189" s="145" t="s">
        <v>249</v>
      </c>
      <c r="E189" s="160" t="s">
        <v>19</v>
      </c>
      <c r="F189" s="161" t="s">
        <v>251</v>
      </c>
      <c r="H189" s="162">
        <v>838.8</v>
      </c>
      <c r="I189" s="163"/>
      <c r="L189" s="159"/>
      <c r="M189" s="164"/>
      <c r="T189" s="165"/>
      <c r="AT189" s="160" t="s">
        <v>249</v>
      </c>
      <c r="AU189" s="160" t="s">
        <v>86</v>
      </c>
      <c r="AV189" s="13" t="s">
        <v>166</v>
      </c>
      <c r="AW189" s="13" t="s">
        <v>37</v>
      </c>
      <c r="AX189" s="13" t="s">
        <v>84</v>
      </c>
      <c r="AY189" s="160" t="s">
        <v>144</v>
      </c>
    </row>
    <row r="190" spans="2:65" s="1" customFormat="1" ht="63.9" customHeight="1">
      <c r="B190" s="33"/>
      <c r="C190" s="128" t="s">
        <v>7</v>
      </c>
      <c r="D190" s="128" t="s">
        <v>147</v>
      </c>
      <c r="E190" s="129" t="s">
        <v>369</v>
      </c>
      <c r="F190" s="130" t="s">
        <v>370</v>
      </c>
      <c r="G190" s="131" t="s">
        <v>324</v>
      </c>
      <c r="H190" s="132">
        <v>2.4</v>
      </c>
      <c r="I190" s="133"/>
      <c r="J190" s="134">
        <f>ROUND(I190*H190,2)</f>
        <v>0</v>
      </c>
      <c r="K190" s="130" t="s">
        <v>151</v>
      </c>
      <c r="L190" s="33"/>
      <c r="M190" s="135" t="s">
        <v>19</v>
      </c>
      <c r="N190" s="136" t="s">
        <v>47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166</v>
      </c>
      <c r="AT190" s="139" t="s">
        <v>147</v>
      </c>
      <c r="AU190" s="139" t="s">
        <v>86</v>
      </c>
      <c r="AY190" s="18" t="s">
        <v>144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84</v>
      </c>
      <c r="BK190" s="140">
        <f>ROUND(I190*H190,2)</f>
        <v>0</v>
      </c>
      <c r="BL190" s="18" t="s">
        <v>166</v>
      </c>
      <c r="BM190" s="139" t="s">
        <v>371</v>
      </c>
    </row>
    <row r="191" spans="2:47" s="1" customFormat="1" ht="12">
      <c r="B191" s="33"/>
      <c r="D191" s="141" t="s">
        <v>154</v>
      </c>
      <c r="F191" s="142" t="s">
        <v>372</v>
      </c>
      <c r="I191" s="143"/>
      <c r="L191" s="33"/>
      <c r="M191" s="144"/>
      <c r="T191" s="54"/>
      <c r="AT191" s="18" t="s">
        <v>154</v>
      </c>
      <c r="AU191" s="18" t="s">
        <v>86</v>
      </c>
    </row>
    <row r="192" spans="2:51" s="12" customFormat="1" ht="12">
      <c r="B192" s="152"/>
      <c r="D192" s="145" t="s">
        <v>249</v>
      </c>
      <c r="F192" s="154" t="s">
        <v>373</v>
      </c>
      <c r="H192" s="155">
        <v>2.4</v>
      </c>
      <c r="I192" s="156"/>
      <c r="L192" s="152"/>
      <c r="M192" s="157"/>
      <c r="T192" s="158"/>
      <c r="AT192" s="153" t="s">
        <v>249</v>
      </c>
      <c r="AU192" s="153" t="s">
        <v>86</v>
      </c>
      <c r="AV192" s="12" t="s">
        <v>86</v>
      </c>
      <c r="AW192" s="12" t="s">
        <v>4</v>
      </c>
      <c r="AX192" s="12" t="s">
        <v>84</v>
      </c>
      <c r="AY192" s="153" t="s">
        <v>144</v>
      </c>
    </row>
    <row r="193" spans="2:65" s="1" customFormat="1" ht="63.9" customHeight="1">
      <c r="B193" s="33"/>
      <c r="C193" s="128" t="s">
        <v>374</v>
      </c>
      <c r="D193" s="128" t="s">
        <v>147</v>
      </c>
      <c r="E193" s="129" t="s">
        <v>369</v>
      </c>
      <c r="F193" s="130" t="s">
        <v>370</v>
      </c>
      <c r="G193" s="131" t="s">
        <v>324</v>
      </c>
      <c r="H193" s="132">
        <v>8388</v>
      </c>
      <c r="I193" s="133"/>
      <c r="J193" s="134">
        <f>ROUND(I193*H193,2)</f>
        <v>0</v>
      </c>
      <c r="K193" s="130" t="s">
        <v>151</v>
      </c>
      <c r="L193" s="33"/>
      <c r="M193" s="135" t="s">
        <v>19</v>
      </c>
      <c r="N193" s="136" t="s">
        <v>47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166</v>
      </c>
      <c r="AT193" s="139" t="s">
        <v>147</v>
      </c>
      <c r="AU193" s="139" t="s">
        <v>86</v>
      </c>
      <c r="AY193" s="18" t="s">
        <v>144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8" t="s">
        <v>84</v>
      </c>
      <c r="BK193" s="140">
        <f>ROUND(I193*H193,2)</f>
        <v>0</v>
      </c>
      <c r="BL193" s="18" t="s">
        <v>166</v>
      </c>
      <c r="BM193" s="139" t="s">
        <v>375</v>
      </c>
    </row>
    <row r="194" spans="2:47" s="1" customFormat="1" ht="12">
      <c r="B194" s="33"/>
      <c r="D194" s="141" t="s">
        <v>154</v>
      </c>
      <c r="F194" s="142" t="s">
        <v>372</v>
      </c>
      <c r="I194" s="143"/>
      <c r="L194" s="33"/>
      <c r="M194" s="144"/>
      <c r="T194" s="54"/>
      <c r="AT194" s="18" t="s">
        <v>154</v>
      </c>
      <c r="AU194" s="18" t="s">
        <v>86</v>
      </c>
    </row>
    <row r="195" spans="2:51" s="12" customFormat="1" ht="12">
      <c r="B195" s="152"/>
      <c r="D195" s="145" t="s">
        <v>249</v>
      </c>
      <c r="F195" s="154" t="s">
        <v>376</v>
      </c>
      <c r="H195" s="155">
        <v>8388</v>
      </c>
      <c r="I195" s="156"/>
      <c r="L195" s="152"/>
      <c r="M195" s="157"/>
      <c r="T195" s="158"/>
      <c r="AT195" s="153" t="s">
        <v>249</v>
      </c>
      <c r="AU195" s="153" t="s">
        <v>86</v>
      </c>
      <c r="AV195" s="12" t="s">
        <v>86</v>
      </c>
      <c r="AW195" s="12" t="s">
        <v>4</v>
      </c>
      <c r="AX195" s="12" t="s">
        <v>84</v>
      </c>
      <c r="AY195" s="153" t="s">
        <v>144</v>
      </c>
    </row>
    <row r="196" spans="2:65" s="1" customFormat="1" ht="42.6" customHeight="1">
      <c r="B196" s="33"/>
      <c r="C196" s="128" t="s">
        <v>377</v>
      </c>
      <c r="D196" s="128" t="s">
        <v>147</v>
      </c>
      <c r="E196" s="129" t="s">
        <v>378</v>
      </c>
      <c r="F196" s="130" t="s">
        <v>379</v>
      </c>
      <c r="G196" s="131" t="s">
        <v>324</v>
      </c>
      <c r="H196" s="132">
        <v>87.08</v>
      </c>
      <c r="I196" s="133"/>
      <c r="J196" s="134">
        <f>ROUND(I196*H196,2)</f>
        <v>0</v>
      </c>
      <c r="K196" s="130" t="s">
        <v>151</v>
      </c>
      <c r="L196" s="33"/>
      <c r="M196" s="135" t="s">
        <v>19</v>
      </c>
      <c r="N196" s="136" t="s">
        <v>47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166</v>
      </c>
      <c r="AT196" s="139" t="s">
        <v>147</v>
      </c>
      <c r="AU196" s="139" t="s">
        <v>86</v>
      </c>
      <c r="AY196" s="18" t="s">
        <v>144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84</v>
      </c>
      <c r="BK196" s="140">
        <f>ROUND(I196*H196,2)</f>
        <v>0</v>
      </c>
      <c r="BL196" s="18" t="s">
        <v>166</v>
      </c>
      <c r="BM196" s="139" t="s">
        <v>380</v>
      </c>
    </row>
    <row r="197" spans="2:47" s="1" customFormat="1" ht="12">
      <c r="B197" s="33"/>
      <c r="D197" s="141" t="s">
        <v>154</v>
      </c>
      <c r="F197" s="142" t="s">
        <v>381</v>
      </c>
      <c r="I197" s="143"/>
      <c r="L197" s="33"/>
      <c r="M197" s="144"/>
      <c r="T197" s="54"/>
      <c r="AT197" s="18" t="s">
        <v>154</v>
      </c>
      <c r="AU197" s="18" t="s">
        <v>86</v>
      </c>
    </row>
    <row r="198" spans="2:51" s="12" customFormat="1" ht="12">
      <c r="B198" s="152"/>
      <c r="D198" s="145" t="s">
        <v>249</v>
      </c>
      <c r="E198" s="153" t="s">
        <v>19</v>
      </c>
      <c r="F198" s="154" t="s">
        <v>382</v>
      </c>
      <c r="H198" s="155">
        <v>50</v>
      </c>
      <c r="I198" s="156"/>
      <c r="L198" s="152"/>
      <c r="M198" s="157"/>
      <c r="T198" s="158"/>
      <c r="AT198" s="153" t="s">
        <v>249</v>
      </c>
      <c r="AU198" s="153" t="s">
        <v>86</v>
      </c>
      <c r="AV198" s="12" t="s">
        <v>86</v>
      </c>
      <c r="AW198" s="12" t="s">
        <v>37</v>
      </c>
      <c r="AX198" s="12" t="s">
        <v>76</v>
      </c>
      <c r="AY198" s="153" t="s">
        <v>144</v>
      </c>
    </row>
    <row r="199" spans="2:51" s="12" customFormat="1" ht="12">
      <c r="B199" s="152"/>
      <c r="D199" s="145" t="s">
        <v>249</v>
      </c>
      <c r="E199" s="153" t="s">
        <v>19</v>
      </c>
      <c r="F199" s="154" t="s">
        <v>383</v>
      </c>
      <c r="H199" s="155">
        <v>37.08</v>
      </c>
      <c r="I199" s="156"/>
      <c r="L199" s="152"/>
      <c r="M199" s="157"/>
      <c r="T199" s="158"/>
      <c r="AT199" s="153" t="s">
        <v>249</v>
      </c>
      <c r="AU199" s="153" t="s">
        <v>86</v>
      </c>
      <c r="AV199" s="12" t="s">
        <v>86</v>
      </c>
      <c r="AW199" s="12" t="s">
        <v>37</v>
      </c>
      <c r="AX199" s="12" t="s">
        <v>76</v>
      </c>
      <c r="AY199" s="153" t="s">
        <v>144</v>
      </c>
    </row>
    <row r="200" spans="2:51" s="13" customFormat="1" ht="12">
      <c r="B200" s="159"/>
      <c r="D200" s="145" t="s">
        <v>249</v>
      </c>
      <c r="E200" s="160" t="s">
        <v>19</v>
      </c>
      <c r="F200" s="161" t="s">
        <v>251</v>
      </c>
      <c r="H200" s="162">
        <v>87.08</v>
      </c>
      <c r="I200" s="163"/>
      <c r="L200" s="159"/>
      <c r="M200" s="164"/>
      <c r="T200" s="165"/>
      <c r="AT200" s="160" t="s">
        <v>249</v>
      </c>
      <c r="AU200" s="160" t="s">
        <v>86</v>
      </c>
      <c r="AV200" s="13" t="s">
        <v>166</v>
      </c>
      <c r="AW200" s="13" t="s">
        <v>37</v>
      </c>
      <c r="AX200" s="13" t="s">
        <v>84</v>
      </c>
      <c r="AY200" s="160" t="s">
        <v>144</v>
      </c>
    </row>
    <row r="201" spans="2:65" s="1" customFormat="1" ht="53.25" customHeight="1">
      <c r="B201" s="33"/>
      <c r="C201" s="128" t="s">
        <v>384</v>
      </c>
      <c r="D201" s="128" t="s">
        <v>147</v>
      </c>
      <c r="E201" s="129" t="s">
        <v>385</v>
      </c>
      <c r="F201" s="130" t="s">
        <v>386</v>
      </c>
      <c r="G201" s="131" t="s">
        <v>324</v>
      </c>
      <c r="H201" s="132">
        <v>50</v>
      </c>
      <c r="I201" s="133"/>
      <c r="J201" s="134">
        <f>ROUND(I201*H201,2)</f>
        <v>0</v>
      </c>
      <c r="K201" s="130" t="s">
        <v>151</v>
      </c>
      <c r="L201" s="33"/>
      <c r="M201" s="135" t="s">
        <v>19</v>
      </c>
      <c r="N201" s="136" t="s">
        <v>47</v>
      </c>
      <c r="P201" s="137">
        <f>O201*H201</f>
        <v>0</v>
      </c>
      <c r="Q201" s="137">
        <v>0</v>
      </c>
      <c r="R201" s="137">
        <f>Q201*H201</f>
        <v>0</v>
      </c>
      <c r="S201" s="137">
        <v>0</v>
      </c>
      <c r="T201" s="138">
        <f>S201*H201</f>
        <v>0</v>
      </c>
      <c r="AR201" s="139" t="s">
        <v>166</v>
      </c>
      <c r="AT201" s="139" t="s">
        <v>147</v>
      </c>
      <c r="AU201" s="139" t="s">
        <v>86</v>
      </c>
      <c r="AY201" s="18" t="s">
        <v>144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84</v>
      </c>
      <c r="BK201" s="140">
        <f>ROUND(I201*H201,2)</f>
        <v>0</v>
      </c>
      <c r="BL201" s="18" t="s">
        <v>166</v>
      </c>
      <c r="BM201" s="139" t="s">
        <v>387</v>
      </c>
    </row>
    <row r="202" spans="2:47" s="1" customFormat="1" ht="12">
      <c r="B202" s="33"/>
      <c r="D202" s="141" t="s">
        <v>154</v>
      </c>
      <c r="F202" s="142" t="s">
        <v>388</v>
      </c>
      <c r="I202" s="143"/>
      <c r="L202" s="33"/>
      <c r="M202" s="144"/>
      <c r="T202" s="54"/>
      <c r="AT202" s="18" t="s">
        <v>154</v>
      </c>
      <c r="AU202" s="18" t="s">
        <v>86</v>
      </c>
    </row>
    <row r="203" spans="2:65" s="1" customFormat="1" ht="36.6" customHeight="1">
      <c r="B203" s="33"/>
      <c r="C203" s="128" t="s">
        <v>389</v>
      </c>
      <c r="D203" s="128" t="s">
        <v>147</v>
      </c>
      <c r="E203" s="129" t="s">
        <v>390</v>
      </c>
      <c r="F203" s="130" t="s">
        <v>391</v>
      </c>
      <c r="G203" s="131" t="s">
        <v>324</v>
      </c>
      <c r="H203" s="132">
        <v>804.13</v>
      </c>
      <c r="I203" s="133"/>
      <c r="J203" s="134">
        <f>ROUND(I203*H203,2)</f>
        <v>0</v>
      </c>
      <c r="K203" s="130" t="s">
        <v>151</v>
      </c>
      <c r="L203" s="33"/>
      <c r="M203" s="135" t="s">
        <v>19</v>
      </c>
      <c r="N203" s="136" t="s">
        <v>47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166</v>
      </c>
      <c r="AT203" s="139" t="s">
        <v>147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392</v>
      </c>
    </row>
    <row r="204" spans="2:47" s="1" customFormat="1" ht="12">
      <c r="B204" s="33"/>
      <c r="D204" s="141" t="s">
        <v>154</v>
      </c>
      <c r="F204" s="142" t="s">
        <v>393</v>
      </c>
      <c r="I204" s="143"/>
      <c r="L204" s="33"/>
      <c r="M204" s="144"/>
      <c r="T204" s="54"/>
      <c r="AT204" s="18" t="s">
        <v>154</v>
      </c>
      <c r="AU204" s="18" t="s">
        <v>86</v>
      </c>
    </row>
    <row r="205" spans="2:51" s="12" customFormat="1" ht="12">
      <c r="B205" s="152"/>
      <c r="D205" s="145" t="s">
        <v>249</v>
      </c>
      <c r="E205" s="153" t="s">
        <v>19</v>
      </c>
      <c r="F205" s="154" t="s">
        <v>394</v>
      </c>
      <c r="H205" s="155">
        <v>148.5</v>
      </c>
      <c r="I205" s="156"/>
      <c r="L205" s="152"/>
      <c r="M205" s="157"/>
      <c r="T205" s="158"/>
      <c r="AT205" s="153" t="s">
        <v>249</v>
      </c>
      <c r="AU205" s="153" t="s">
        <v>86</v>
      </c>
      <c r="AV205" s="12" t="s">
        <v>86</v>
      </c>
      <c r="AW205" s="12" t="s">
        <v>37</v>
      </c>
      <c r="AX205" s="12" t="s">
        <v>76</v>
      </c>
      <c r="AY205" s="153" t="s">
        <v>144</v>
      </c>
    </row>
    <row r="206" spans="2:51" s="12" customFormat="1" ht="12">
      <c r="B206" s="152"/>
      <c r="D206" s="145" t="s">
        <v>249</v>
      </c>
      <c r="E206" s="153" t="s">
        <v>19</v>
      </c>
      <c r="F206" s="154" t="s">
        <v>327</v>
      </c>
      <c r="H206" s="155">
        <v>186</v>
      </c>
      <c r="I206" s="156"/>
      <c r="L206" s="152"/>
      <c r="M206" s="157"/>
      <c r="T206" s="158"/>
      <c r="AT206" s="153" t="s">
        <v>249</v>
      </c>
      <c r="AU206" s="153" t="s">
        <v>86</v>
      </c>
      <c r="AV206" s="12" t="s">
        <v>86</v>
      </c>
      <c r="AW206" s="12" t="s">
        <v>37</v>
      </c>
      <c r="AX206" s="12" t="s">
        <v>76</v>
      </c>
      <c r="AY206" s="153" t="s">
        <v>144</v>
      </c>
    </row>
    <row r="207" spans="2:51" s="12" customFormat="1" ht="20.4">
      <c r="B207" s="152"/>
      <c r="D207" s="145" t="s">
        <v>249</v>
      </c>
      <c r="E207" s="153" t="s">
        <v>19</v>
      </c>
      <c r="F207" s="154" t="s">
        <v>328</v>
      </c>
      <c r="H207" s="155">
        <v>280</v>
      </c>
      <c r="I207" s="156"/>
      <c r="L207" s="152"/>
      <c r="M207" s="157"/>
      <c r="T207" s="158"/>
      <c r="AT207" s="153" t="s">
        <v>249</v>
      </c>
      <c r="AU207" s="153" t="s">
        <v>86</v>
      </c>
      <c r="AV207" s="12" t="s">
        <v>86</v>
      </c>
      <c r="AW207" s="12" t="s">
        <v>37</v>
      </c>
      <c r="AX207" s="12" t="s">
        <v>76</v>
      </c>
      <c r="AY207" s="153" t="s">
        <v>144</v>
      </c>
    </row>
    <row r="208" spans="2:51" s="12" customFormat="1" ht="12">
      <c r="B208" s="152"/>
      <c r="D208" s="145" t="s">
        <v>249</v>
      </c>
      <c r="E208" s="153" t="s">
        <v>19</v>
      </c>
      <c r="F208" s="154" t="s">
        <v>395</v>
      </c>
      <c r="H208" s="155">
        <v>134.1</v>
      </c>
      <c r="I208" s="156"/>
      <c r="L208" s="152"/>
      <c r="M208" s="157"/>
      <c r="T208" s="158"/>
      <c r="AT208" s="153" t="s">
        <v>249</v>
      </c>
      <c r="AU208" s="153" t="s">
        <v>86</v>
      </c>
      <c r="AV208" s="12" t="s">
        <v>86</v>
      </c>
      <c r="AW208" s="12" t="s">
        <v>37</v>
      </c>
      <c r="AX208" s="12" t="s">
        <v>76</v>
      </c>
      <c r="AY208" s="153" t="s">
        <v>144</v>
      </c>
    </row>
    <row r="209" spans="2:51" s="12" customFormat="1" ht="12">
      <c r="B209" s="152"/>
      <c r="D209" s="145" t="s">
        <v>249</v>
      </c>
      <c r="E209" s="153" t="s">
        <v>19</v>
      </c>
      <c r="F209" s="154" t="s">
        <v>396</v>
      </c>
      <c r="H209" s="155">
        <v>55.53</v>
      </c>
      <c r="I209" s="156"/>
      <c r="L209" s="152"/>
      <c r="M209" s="157"/>
      <c r="T209" s="158"/>
      <c r="AT209" s="153" t="s">
        <v>249</v>
      </c>
      <c r="AU209" s="153" t="s">
        <v>86</v>
      </c>
      <c r="AV209" s="12" t="s">
        <v>86</v>
      </c>
      <c r="AW209" s="12" t="s">
        <v>37</v>
      </c>
      <c r="AX209" s="12" t="s">
        <v>76</v>
      </c>
      <c r="AY209" s="153" t="s">
        <v>144</v>
      </c>
    </row>
    <row r="210" spans="2:51" s="13" customFormat="1" ht="12">
      <c r="B210" s="159"/>
      <c r="D210" s="145" t="s">
        <v>249</v>
      </c>
      <c r="E210" s="160" t="s">
        <v>19</v>
      </c>
      <c r="F210" s="161" t="s">
        <v>251</v>
      </c>
      <c r="H210" s="162">
        <v>804.13</v>
      </c>
      <c r="I210" s="163"/>
      <c r="L210" s="159"/>
      <c r="M210" s="164"/>
      <c r="T210" s="165"/>
      <c r="AT210" s="160" t="s">
        <v>249</v>
      </c>
      <c r="AU210" s="160" t="s">
        <v>86</v>
      </c>
      <c r="AV210" s="13" t="s">
        <v>166</v>
      </c>
      <c r="AW210" s="13" t="s">
        <v>37</v>
      </c>
      <c r="AX210" s="13" t="s">
        <v>84</v>
      </c>
      <c r="AY210" s="160" t="s">
        <v>144</v>
      </c>
    </row>
    <row r="211" spans="2:65" s="1" customFormat="1" ht="23.7" customHeight="1">
      <c r="B211" s="33"/>
      <c r="C211" s="128" t="s">
        <v>397</v>
      </c>
      <c r="D211" s="128" t="s">
        <v>147</v>
      </c>
      <c r="E211" s="129" t="s">
        <v>398</v>
      </c>
      <c r="F211" s="130" t="s">
        <v>399</v>
      </c>
      <c r="G211" s="131" t="s">
        <v>324</v>
      </c>
      <c r="H211" s="132">
        <v>37.08</v>
      </c>
      <c r="I211" s="133"/>
      <c r="J211" s="134">
        <f>ROUND(I211*H211,2)</f>
        <v>0</v>
      </c>
      <c r="K211" s="130" t="s">
        <v>19</v>
      </c>
      <c r="L211" s="33"/>
      <c r="M211" s="135" t="s">
        <v>19</v>
      </c>
      <c r="N211" s="136" t="s">
        <v>47</v>
      </c>
      <c r="P211" s="137">
        <f>O211*H211</f>
        <v>0</v>
      </c>
      <c r="Q211" s="137">
        <v>0</v>
      </c>
      <c r="R211" s="137">
        <f>Q211*H211</f>
        <v>0</v>
      </c>
      <c r="S211" s="137">
        <v>0</v>
      </c>
      <c r="T211" s="138">
        <f>S211*H211</f>
        <v>0</v>
      </c>
      <c r="AR211" s="139" t="s">
        <v>166</v>
      </c>
      <c r="AT211" s="139" t="s">
        <v>147</v>
      </c>
      <c r="AU211" s="139" t="s">
        <v>86</v>
      </c>
      <c r="AY211" s="18" t="s">
        <v>144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8" t="s">
        <v>84</v>
      </c>
      <c r="BK211" s="140">
        <f>ROUND(I211*H211,2)</f>
        <v>0</v>
      </c>
      <c r="BL211" s="18" t="s">
        <v>166</v>
      </c>
      <c r="BM211" s="139" t="s">
        <v>400</v>
      </c>
    </row>
    <row r="212" spans="2:51" s="12" customFormat="1" ht="12">
      <c r="B212" s="152"/>
      <c r="D212" s="145" t="s">
        <v>249</v>
      </c>
      <c r="E212" s="153" t="s">
        <v>19</v>
      </c>
      <c r="F212" s="154" t="s">
        <v>401</v>
      </c>
      <c r="H212" s="155">
        <v>30.06</v>
      </c>
      <c r="I212" s="156"/>
      <c r="L212" s="152"/>
      <c r="M212" s="157"/>
      <c r="T212" s="158"/>
      <c r="AT212" s="153" t="s">
        <v>249</v>
      </c>
      <c r="AU212" s="153" t="s">
        <v>86</v>
      </c>
      <c r="AV212" s="12" t="s">
        <v>86</v>
      </c>
      <c r="AW212" s="12" t="s">
        <v>37</v>
      </c>
      <c r="AX212" s="12" t="s">
        <v>76</v>
      </c>
      <c r="AY212" s="153" t="s">
        <v>144</v>
      </c>
    </row>
    <row r="213" spans="2:51" s="12" customFormat="1" ht="12">
      <c r="B213" s="152"/>
      <c r="D213" s="145" t="s">
        <v>249</v>
      </c>
      <c r="E213" s="153" t="s">
        <v>19</v>
      </c>
      <c r="F213" s="154" t="s">
        <v>402</v>
      </c>
      <c r="H213" s="155">
        <v>7.02</v>
      </c>
      <c r="I213" s="156"/>
      <c r="L213" s="152"/>
      <c r="M213" s="157"/>
      <c r="T213" s="158"/>
      <c r="AT213" s="153" t="s">
        <v>249</v>
      </c>
      <c r="AU213" s="153" t="s">
        <v>86</v>
      </c>
      <c r="AV213" s="12" t="s">
        <v>86</v>
      </c>
      <c r="AW213" s="12" t="s">
        <v>37</v>
      </c>
      <c r="AX213" s="12" t="s">
        <v>76</v>
      </c>
      <c r="AY213" s="153" t="s">
        <v>144</v>
      </c>
    </row>
    <row r="214" spans="2:51" s="13" customFormat="1" ht="12">
      <c r="B214" s="159"/>
      <c r="D214" s="145" t="s">
        <v>249</v>
      </c>
      <c r="E214" s="160" t="s">
        <v>19</v>
      </c>
      <c r="F214" s="161" t="s">
        <v>251</v>
      </c>
      <c r="H214" s="162">
        <v>37.08</v>
      </c>
      <c r="I214" s="163"/>
      <c r="L214" s="159"/>
      <c r="M214" s="164"/>
      <c r="T214" s="165"/>
      <c r="AT214" s="160" t="s">
        <v>249</v>
      </c>
      <c r="AU214" s="160" t="s">
        <v>86</v>
      </c>
      <c r="AV214" s="13" t="s">
        <v>166</v>
      </c>
      <c r="AW214" s="13" t="s">
        <v>37</v>
      </c>
      <c r="AX214" s="13" t="s">
        <v>84</v>
      </c>
      <c r="AY214" s="160" t="s">
        <v>144</v>
      </c>
    </row>
    <row r="215" spans="2:65" s="1" customFormat="1" ht="63.9" customHeight="1">
      <c r="B215" s="33"/>
      <c r="C215" s="128" t="s">
        <v>403</v>
      </c>
      <c r="D215" s="128" t="s">
        <v>147</v>
      </c>
      <c r="E215" s="129" t="s">
        <v>404</v>
      </c>
      <c r="F215" s="130" t="s">
        <v>405</v>
      </c>
      <c r="G215" s="131" t="s">
        <v>324</v>
      </c>
      <c r="H215" s="132">
        <v>2.271</v>
      </c>
      <c r="I215" s="133"/>
      <c r="J215" s="134">
        <f>ROUND(I215*H215,2)</f>
        <v>0</v>
      </c>
      <c r="K215" s="130" t="s">
        <v>151</v>
      </c>
      <c r="L215" s="33"/>
      <c r="M215" s="135" t="s">
        <v>19</v>
      </c>
      <c r="N215" s="136" t="s">
        <v>47</v>
      </c>
      <c r="P215" s="137">
        <f>O215*H215</f>
        <v>0</v>
      </c>
      <c r="Q215" s="137">
        <v>0</v>
      </c>
      <c r="R215" s="137">
        <f>Q215*H215</f>
        <v>0</v>
      </c>
      <c r="S215" s="137">
        <v>0</v>
      </c>
      <c r="T215" s="138">
        <f>S215*H215</f>
        <v>0</v>
      </c>
      <c r="AR215" s="139" t="s">
        <v>166</v>
      </c>
      <c r="AT215" s="139" t="s">
        <v>147</v>
      </c>
      <c r="AU215" s="139" t="s">
        <v>86</v>
      </c>
      <c r="AY215" s="18" t="s">
        <v>144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8" t="s">
        <v>84</v>
      </c>
      <c r="BK215" s="140">
        <f>ROUND(I215*H215,2)</f>
        <v>0</v>
      </c>
      <c r="BL215" s="18" t="s">
        <v>166</v>
      </c>
      <c r="BM215" s="139" t="s">
        <v>406</v>
      </c>
    </row>
    <row r="216" spans="2:47" s="1" customFormat="1" ht="12">
      <c r="B216" s="33"/>
      <c r="D216" s="141" t="s">
        <v>154</v>
      </c>
      <c r="F216" s="142" t="s">
        <v>407</v>
      </c>
      <c r="I216" s="143"/>
      <c r="L216" s="33"/>
      <c r="M216" s="144"/>
      <c r="T216" s="54"/>
      <c r="AT216" s="18" t="s">
        <v>154</v>
      </c>
      <c r="AU216" s="18" t="s">
        <v>86</v>
      </c>
    </row>
    <row r="217" spans="2:51" s="12" customFormat="1" ht="20.4">
      <c r="B217" s="152"/>
      <c r="D217" s="145" t="s">
        <v>249</v>
      </c>
      <c r="E217" s="153" t="s">
        <v>19</v>
      </c>
      <c r="F217" s="154" t="s">
        <v>408</v>
      </c>
      <c r="H217" s="155">
        <v>2.271</v>
      </c>
      <c r="I217" s="156"/>
      <c r="L217" s="152"/>
      <c r="M217" s="157"/>
      <c r="T217" s="158"/>
      <c r="AT217" s="153" t="s">
        <v>249</v>
      </c>
      <c r="AU217" s="153" t="s">
        <v>86</v>
      </c>
      <c r="AV217" s="12" t="s">
        <v>86</v>
      </c>
      <c r="AW217" s="12" t="s">
        <v>37</v>
      </c>
      <c r="AX217" s="12" t="s">
        <v>76</v>
      </c>
      <c r="AY217" s="153" t="s">
        <v>144</v>
      </c>
    </row>
    <row r="218" spans="2:51" s="13" customFormat="1" ht="12">
      <c r="B218" s="159"/>
      <c r="D218" s="145" t="s">
        <v>249</v>
      </c>
      <c r="E218" s="160" t="s">
        <v>19</v>
      </c>
      <c r="F218" s="161" t="s">
        <v>251</v>
      </c>
      <c r="H218" s="162">
        <v>2.271</v>
      </c>
      <c r="I218" s="163"/>
      <c r="L218" s="159"/>
      <c r="M218" s="164"/>
      <c r="T218" s="165"/>
      <c r="AT218" s="160" t="s">
        <v>249</v>
      </c>
      <c r="AU218" s="160" t="s">
        <v>86</v>
      </c>
      <c r="AV218" s="13" t="s">
        <v>166</v>
      </c>
      <c r="AW218" s="13" t="s">
        <v>37</v>
      </c>
      <c r="AX218" s="13" t="s">
        <v>84</v>
      </c>
      <c r="AY218" s="160" t="s">
        <v>144</v>
      </c>
    </row>
    <row r="219" spans="2:65" s="1" customFormat="1" ht="15" customHeight="1">
      <c r="B219" s="33"/>
      <c r="C219" s="172" t="s">
        <v>409</v>
      </c>
      <c r="D219" s="172" t="s">
        <v>410</v>
      </c>
      <c r="E219" s="173" t="s">
        <v>411</v>
      </c>
      <c r="F219" s="174" t="s">
        <v>412</v>
      </c>
      <c r="G219" s="175" t="s">
        <v>413</v>
      </c>
      <c r="H219" s="176">
        <v>4.088</v>
      </c>
      <c r="I219" s="177"/>
      <c r="J219" s="178">
        <f>ROUND(I219*H219,2)</f>
        <v>0</v>
      </c>
      <c r="K219" s="174" t="s">
        <v>151</v>
      </c>
      <c r="L219" s="179"/>
      <c r="M219" s="180" t="s">
        <v>19</v>
      </c>
      <c r="N219" s="181" t="s">
        <v>47</v>
      </c>
      <c r="P219" s="137">
        <f>O219*H219</f>
        <v>0</v>
      </c>
      <c r="Q219" s="137">
        <v>1</v>
      </c>
      <c r="R219" s="137">
        <f>Q219*H219</f>
        <v>4.088</v>
      </c>
      <c r="S219" s="137">
        <v>0</v>
      </c>
      <c r="T219" s="138">
        <f>S219*H219</f>
        <v>0</v>
      </c>
      <c r="AR219" s="139" t="s">
        <v>189</v>
      </c>
      <c r="AT219" s="139" t="s">
        <v>410</v>
      </c>
      <c r="AU219" s="139" t="s">
        <v>86</v>
      </c>
      <c r="AY219" s="18" t="s">
        <v>144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166</v>
      </c>
      <c r="BM219" s="139" t="s">
        <v>414</v>
      </c>
    </row>
    <row r="220" spans="2:51" s="12" customFormat="1" ht="12">
      <c r="B220" s="152"/>
      <c r="D220" s="145" t="s">
        <v>249</v>
      </c>
      <c r="F220" s="154" t="s">
        <v>415</v>
      </c>
      <c r="H220" s="155">
        <v>4.088</v>
      </c>
      <c r="I220" s="156"/>
      <c r="L220" s="152"/>
      <c r="M220" s="157"/>
      <c r="T220" s="158"/>
      <c r="AT220" s="153" t="s">
        <v>249</v>
      </c>
      <c r="AU220" s="153" t="s">
        <v>86</v>
      </c>
      <c r="AV220" s="12" t="s">
        <v>86</v>
      </c>
      <c r="AW220" s="12" t="s">
        <v>4</v>
      </c>
      <c r="AX220" s="12" t="s">
        <v>84</v>
      </c>
      <c r="AY220" s="153" t="s">
        <v>144</v>
      </c>
    </row>
    <row r="221" spans="2:65" s="1" customFormat="1" ht="23.7" customHeight="1">
      <c r="B221" s="33"/>
      <c r="C221" s="128" t="s">
        <v>416</v>
      </c>
      <c r="D221" s="128" t="s">
        <v>147</v>
      </c>
      <c r="E221" s="129" t="s">
        <v>417</v>
      </c>
      <c r="F221" s="130" t="s">
        <v>418</v>
      </c>
      <c r="G221" s="131" t="s">
        <v>246</v>
      </c>
      <c r="H221" s="132">
        <v>2097</v>
      </c>
      <c r="I221" s="133"/>
      <c r="J221" s="134">
        <f>ROUND(I221*H221,2)</f>
        <v>0</v>
      </c>
      <c r="K221" s="130" t="s">
        <v>151</v>
      </c>
      <c r="L221" s="33"/>
      <c r="M221" s="135" t="s">
        <v>19</v>
      </c>
      <c r="N221" s="136" t="s">
        <v>47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166</v>
      </c>
      <c r="AT221" s="139" t="s">
        <v>147</v>
      </c>
      <c r="AU221" s="139" t="s">
        <v>86</v>
      </c>
      <c r="AY221" s="18" t="s">
        <v>144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84</v>
      </c>
      <c r="BK221" s="140">
        <f>ROUND(I221*H221,2)</f>
        <v>0</v>
      </c>
      <c r="BL221" s="18" t="s">
        <v>166</v>
      </c>
      <c r="BM221" s="139" t="s">
        <v>419</v>
      </c>
    </row>
    <row r="222" spans="2:47" s="1" customFormat="1" ht="12">
      <c r="B222" s="33"/>
      <c r="D222" s="141" t="s">
        <v>154</v>
      </c>
      <c r="F222" s="142" t="s">
        <v>420</v>
      </c>
      <c r="I222" s="143"/>
      <c r="L222" s="33"/>
      <c r="M222" s="144"/>
      <c r="T222" s="54"/>
      <c r="AT222" s="18" t="s">
        <v>154</v>
      </c>
      <c r="AU222" s="18" t="s">
        <v>86</v>
      </c>
    </row>
    <row r="223" spans="2:51" s="12" customFormat="1" ht="12">
      <c r="B223" s="152"/>
      <c r="D223" s="145" t="s">
        <v>249</v>
      </c>
      <c r="E223" s="153" t="s">
        <v>19</v>
      </c>
      <c r="F223" s="154" t="s">
        <v>421</v>
      </c>
      <c r="H223" s="155">
        <v>2097</v>
      </c>
      <c r="I223" s="156"/>
      <c r="L223" s="152"/>
      <c r="M223" s="157"/>
      <c r="T223" s="158"/>
      <c r="AT223" s="153" t="s">
        <v>249</v>
      </c>
      <c r="AU223" s="153" t="s">
        <v>86</v>
      </c>
      <c r="AV223" s="12" t="s">
        <v>86</v>
      </c>
      <c r="AW223" s="12" t="s">
        <v>37</v>
      </c>
      <c r="AX223" s="12" t="s">
        <v>76</v>
      </c>
      <c r="AY223" s="153" t="s">
        <v>144</v>
      </c>
    </row>
    <row r="224" spans="2:51" s="13" customFormat="1" ht="12">
      <c r="B224" s="159"/>
      <c r="D224" s="145" t="s">
        <v>249</v>
      </c>
      <c r="E224" s="160" t="s">
        <v>19</v>
      </c>
      <c r="F224" s="161" t="s">
        <v>251</v>
      </c>
      <c r="H224" s="162">
        <v>2097</v>
      </c>
      <c r="I224" s="163"/>
      <c r="L224" s="159"/>
      <c r="M224" s="164"/>
      <c r="T224" s="165"/>
      <c r="AT224" s="160" t="s">
        <v>249</v>
      </c>
      <c r="AU224" s="160" t="s">
        <v>86</v>
      </c>
      <c r="AV224" s="13" t="s">
        <v>166</v>
      </c>
      <c r="AW224" s="13" t="s">
        <v>37</v>
      </c>
      <c r="AX224" s="13" t="s">
        <v>84</v>
      </c>
      <c r="AY224" s="160" t="s">
        <v>144</v>
      </c>
    </row>
    <row r="225" spans="2:65" s="1" customFormat="1" ht="47.4" customHeight="1">
      <c r="B225" s="33"/>
      <c r="C225" s="128" t="s">
        <v>422</v>
      </c>
      <c r="D225" s="128" t="s">
        <v>147</v>
      </c>
      <c r="E225" s="129" t="s">
        <v>423</v>
      </c>
      <c r="F225" s="130" t="s">
        <v>424</v>
      </c>
      <c r="G225" s="131" t="s">
        <v>246</v>
      </c>
      <c r="H225" s="132">
        <v>421</v>
      </c>
      <c r="I225" s="133"/>
      <c r="J225" s="134">
        <f>ROUND(I225*H225,2)</f>
        <v>0</v>
      </c>
      <c r="K225" s="130" t="s">
        <v>151</v>
      </c>
      <c r="L225" s="33"/>
      <c r="M225" s="135" t="s">
        <v>19</v>
      </c>
      <c r="N225" s="136" t="s">
        <v>47</v>
      </c>
      <c r="P225" s="137">
        <f>O225*H225</f>
        <v>0</v>
      </c>
      <c r="Q225" s="137">
        <v>0</v>
      </c>
      <c r="R225" s="137">
        <f>Q225*H225</f>
        <v>0</v>
      </c>
      <c r="S225" s="137">
        <v>0</v>
      </c>
      <c r="T225" s="138">
        <f>S225*H225</f>
        <v>0</v>
      </c>
      <c r="AR225" s="139" t="s">
        <v>166</v>
      </c>
      <c r="AT225" s="139" t="s">
        <v>147</v>
      </c>
      <c r="AU225" s="139" t="s">
        <v>86</v>
      </c>
      <c r="AY225" s="18" t="s">
        <v>144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84</v>
      </c>
      <c r="BK225" s="140">
        <f>ROUND(I225*H225,2)</f>
        <v>0</v>
      </c>
      <c r="BL225" s="18" t="s">
        <v>166</v>
      </c>
      <c r="BM225" s="139" t="s">
        <v>425</v>
      </c>
    </row>
    <row r="226" spans="2:47" s="1" customFormat="1" ht="12">
      <c r="B226" s="33"/>
      <c r="D226" s="141" t="s">
        <v>154</v>
      </c>
      <c r="F226" s="142" t="s">
        <v>426</v>
      </c>
      <c r="I226" s="143"/>
      <c r="L226" s="33"/>
      <c r="M226" s="144"/>
      <c r="T226" s="54"/>
      <c r="AT226" s="18" t="s">
        <v>154</v>
      </c>
      <c r="AU226" s="18" t="s">
        <v>86</v>
      </c>
    </row>
    <row r="227" spans="2:51" s="12" customFormat="1" ht="12">
      <c r="B227" s="152"/>
      <c r="D227" s="145" t="s">
        <v>249</v>
      </c>
      <c r="E227" s="153" t="s">
        <v>19</v>
      </c>
      <c r="F227" s="154" t="s">
        <v>427</v>
      </c>
      <c r="H227" s="155">
        <v>421</v>
      </c>
      <c r="I227" s="156"/>
      <c r="L227" s="152"/>
      <c r="M227" s="157"/>
      <c r="T227" s="158"/>
      <c r="AT227" s="153" t="s">
        <v>249</v>
      </c>
      <c r="AU227" s="153" t="s">
        <v>86</v>
      </c>
      <c r="AV227" s="12" t="s">
        <v>86</v>
      </c>
      <c r="AW227" s="12" t="s">
        <v>37</v>
      </c>
      <c r="AX227" s="12" t="s">
        <v>76</v>
      </c>
      <c r="AY227" s="153" t="s">
        <v>144</v>
      </c>
    </row>
    <row r="228" spans="2:51" s="13" customFormat="1" ht="12">
      <c r="B228" s="159"/>
      <c r="D228" s="145" t="s">
        <v>249</v>
      </c>
      <c r="E228" s="160" t="s">
        <v>19</v>
      </c>
      <c r="F228" s="161" t="s">
        <v>251</v>
      </c>
      <c r="H228" s="162">
        <v>421</v>
      </c>
      <c r="I228" s="163"/>
      <c r="L228" s="159"/>
      <c r="M228" s="164"/>
      <c r="T228" s="165"/>
      <c r="AT228" s="160" t="s">
        <v>249</v>
      </c>
      <c r="AU228" s="160" t="s">
        <v>86</v>
      </c>
      <c r="AV228" s="13" t="s">
        <v>166</v>
      </c>
      <c r="AW228" s="13" t="s">
        <v>37</v>
      </c>
      <c r="AX228" s="13" t="s">
        <v>84</v>
      </c>
      <c r="AY228" s="160" t="s">
        <v>144</v>
      </c>
    </row>
    <row r="229" spans="2:63" s="11" customFormat="1" ht="22.8" customHeight="1">
      <c r="B229" s="116"/>
      <c r="D229" s="117" t="s">
        <v>75</v>
      </c>
      <c r="E229" s="126" t="s">
        <v>86</v>
      </c>
      <c r="F229" s="126" t="s">
        <v>428</v>
      </c>
      <c r="I229" s="119"/>
      <c r="J229" s="127">
        <f>BK229</f>
        <v>0</v>
      </c>
      <c r="L229" s="116"/>
      <c r="M229" s="121"/>
      <c r="P229" s="122">
        <f>SUM(P230:P250)</f>
        <v>0</v>
      </c>
      <c r="R229" s="122">
        <f>SUM(R230:R250)</f>
        <v>247.05161600000002</v>
      </c>
      <c r="T229" s="123">
        <f>SUM(T230:T250)</f>
        <v>0</v>
      </c>
      <c r="AR229" s="117" t="s">
        <v>84</v>
      </c>
      <c r="AT229" s="124" t="s">
        <v>75</v>
      </c>
      <c r="AU229" s="124" t="s">
        <v>84</v>
      </c>
      <c r="AY229" s="117" t="s">
        <v>144</v>
      </c>
      <c r="BK229" s="125">
        <f>SUM(BK230:BK250)</f>
        <v>0</v>
      </c>
    </row>
    <row r="230" spans="2:65" s="1" customFormat="1" ht="42.6" customHeight="1">
      <c r="B230" s="33"/>
      <c r="C230" s="128" t="s">
        <v>429</v>
      </c>
      <c r="D230" s="128" t="s">
        <v>147</v>
      </c>
      <c r="E230" s="129" t="s">
        <v>430</v>
      </c>
      <c r="F230" s="130" t="s">
        <v>431</v>
      </c>
      <c r="G230" s="131" t="s">
        <v>324</v>
      </c>
      <c r="H230" s="132">
        <v>34.433</v>
      </c>
      <c r="I230" s="133"/>
      <c r="J230" s="134">
        <f>ROUND(I230*H230,2)</f>
        <v>0</v>
      </c>
      <c r="K230" s="130" t="s">
        <v>432</v>
      </c>
      <c r="L230" s="33"/>
      <c r="M230" s="135" t="s">
        <v>19</v>
      </c>
      <c r="N230" s="136" t="s">
        <v>47</v>
      </c>
      <c r="P230" s="137">
        <f>O230*H230</f>
        <v>0</v>
      </c>
      <c r="Q230" s="137">
        <v>0</v>
      </c>
      <c r="R230" s="137">
        <f>Q230*H230</f>
        <v>0</v>
      </c>
      <c r="S230" s="137">
        <v>0</v>
      </c>
      <c r="T230" s="138">
        <f>S230*H230</f>
        <v>0</v>
      </c>
      <c r="AR230" s="139" t="s">
        <v>166</v>
      </c>
      <c r="AT230" s="139" t="s">
        <v>147</v>
      </c>
      <c r="AU230" s="139" t="s">
        <v>86</v>
      </c>
      <c r="AY230" s="18" t="s">
        <v>144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84</v>
      </c>
      <c r="BK230" s="140">
        <f>ROUND(I230*H230,2)</f>
        <v>0</v>
      </c>
      <c r="BL230" s="18" t="s">
        <v>166</v>
      </c>
      <c r="BM230" s="139" t="s">
        <v>433</v>
      </c>
    </row>
    <row r="231" spans="2:47" s="1" customFormat="1" ht="12">
      <c r="B231" s="33"/>
      <c r="D231" s="141" t="s">
        <v>154</v>
      </c>
      <c r="F231" s="142" t="s">
        <v>434</v>
      </c>
      <c r="I231" s="143"/>
      <c r="L231" s="33"/>
      <c r="M231" s="144"/>
      <c r="T231" s="54"/>
      <c r="AT231" s="18" t="s">
        <v>154</v>
      </c>
      <c r="AU231" s="18" t="s">
        <v>86</v>
      </c>
    </row>
    <row r="232" spans="2:51" s="12" customFormat="1" ht="12">
      <c r="B232" s="152"/>
      <c r="D232" s="145" t="s">
        <v>249</v>
      </c>
      <c r="E232" s="153" t="s">
        <v>19</v>
      </c>
      <c r="F232" s="154" t="s">
        <v>435</v>
      </c>
      <c r="H232" s="155">
        <v>114.24</v>
      </c>
      <c r="I232" s="156"/>
      <c r="L232" s="152"/>
      <c r="M232" s="157"/>
      <c r="T232" s="158"/>
      <c r="AT232" s="153" t="s">
        <v>249</v>
      </c>
      <c r="AU232" s="153" t="s">
        <v>86</v>
      </c>
      <c r="AV232" s="12" t="s">
        <v>86</v>
      </c>
      <c r="AW232" s="12" t="s">
        <v>37</v>
      </c>
      <c r="AX232" s="12" t="s">
        <v>76</v>
      </c>
      <c r="AY232" s="153" t="s">
        <v>144</v>
      </c>
    </row>
    <row r="233" spans="2:51" s="12" customFormat="1" ht="12">
      <c r="B233" s="152"/>
      <c r="D233" s="145" t="s">
        <v>249</v>
      </c>
      <c r="E233" s="153" t="s">
        <v>19</v>
      </c>
      <c r="F233" s="154" t="s">
        <v>436</v>
      </c>
      <c r="H233" s="155">
        <v>-71.4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76</v>
      </c>
      <c r="AY233" s="153" t="s">
        <v>144</v>
      </c>
    </row>
    <row r="234" spans="2:51" s="12" customFormat="1" ht="12">
      <c r="B234" s="152"/>
      <c r="D234" s="145" t="s">
        <v>249</v>
      </c>
      <c r="E234" s="153" t="s">
        <v>19</v>
      </c>
      <c r="F234" s="154" t="s">
        <v>437</v>
      </c>
      <c r="H234" s="155">
        <v>-8.407</v>
      </c>
      <c r="I234" s="156"/>
      <c r="L234" s="152"/>
      <c r="M234" s="157"/>
      <c r="T234" s="158"/>
      <c r="AT234" s="153" t="s">
        <v>249</v>
      </c>
      <c r="AU234" s="153" t="s">
        <v>86</v>
      </c>
      <c r="AV234" s="12" t="s">
        <v>86</v>
      </c>
      <c r="AW234" s="12" t="s">
        <v>37</v>
      </c>
      <c r="AX234" s="12" t="s">
        <v>76</v>
      </c>
      <c r="AY234" s="153" t="s">
        <v>144</v>
      </c>
    </row>
    <row r="235" spans="2:51" s="13" customFormat="1" ht="12">
      <c r="B235" s="159"/>
      <c r="D235" s="145" t="s">
        <v>249</v>
      </c>
      <c r="E235" s="160" t="s">
        <v>19</v>
      </c>
      <c r="F235" s="161" t="s">
        <v>251</v>
      </c>
      <c r="H235" s="162">
        <v>34.433</v>
      </c>
      <c r="I235" s="163"/>
      <c r="L235" s="159"/>
      <c r="M235" s="164"/>
      <c r="T235" s="165"/>
      <c r="AT235" s="160" t="s">
        <v>249</v>
      </c>
      <c r="AU235" s="160" t="s">
        <v>86</v>
      </c>
      <c r="AV235" s="13" t="s">
        <v>166</v>
      </c>
      <c r="AW235" s="13" t="s">
        <v>37</v>
      </c>
      <c r="AX235" s="13" t="s">
        <v>84</v>
      </c>
      <c r="AY235" s="160" t="s">
        <v>144</v>
      </c>
    </row>
    <row r="236" spans="2:65" s="1" customFormat="1" ht="36.6" customHeight="1">
      <c r="B236" s="33"/>
      <c r="C236" s="128" t="s">
        <v>438</v>
      </c>
      <c r="D236" s="128" t="s">
        <v>147</v>
      </c>
      <c r="E236" s="129" t="s">
        <v>439</v>
      </c>
      <c r="F236" s="130" t="s">
        <v>440</v>
      </c>
      <c r="G236" s="131" t="s">
        <v>246</v>
      </c>
      <c r="H236" s="132">
        <v>1094.8</v>
      </c>
      <c r="I236" s="133"/>
      <c r="J236" s="134">
        <f>ROUND(I236*H236,2)</f>
        <v>0</v>
      </c>
      <c r="K236" s="130" t="s">
        <v>441</v>
      </c>
      <c r="L236" s="33"/>
      <c r="M236" s="135" t="s">
        <v>19</v>
      </c>
      <c r="N236" s="136" t="s">
        <v>47</v>
      </c>
      <c r="P236" s="137">
        <f>O236*H236</f>
        <v>0</v>
      </c>
      <c r="Q236" s="137">
        <v>0.00017</v>
      </c>
      <c r="R236" s="137">
        <f>Q236*H236</f>
        <v>0.186116</v>
      </c>
      <c r="S236" s="137">
        <v>0</v>
      </c>
      <c r="T236" s="138">
        <f>S236*H236</f>
        <v>0</v>
      </c>
      <c r="AR236" s="139" t="s">
        <v>166</v>
      </c>
      <c r="AT236" s="139" t="s">
        <v>147</v>
      </c>
      <c r="AU236" s="139" t="s">
        <v>86</v>
      </c>
      <c r="AY236" s="18" t="s">
        <v>144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8" t="s">
        <v>84</v>
      </c>
      <c r="BK236" s="140">
        <f>ROUND(I236*H236,2)</f>
        <v>0</v>
      </c>
      <c r="BL236" s="18" t="s">
        <v>166</v>
      </c>
      <c r="BM236" s="139" t="s">
        <v>442</v>
      </c>
    </row>
    <row r="237" spans="2:47" s="1" customFormat="1" ht="12">
      <c r="B237" s="33"/>
      <c r="D237" s="141" t="s">
        <v>154</v>
      </c>
      <c r="F237" s="142" t="s">
        <v>443</v>
      </c>
      <c r="I237" s="143"/>
      <c r="L237" s="33"/>
      <c r="M237" s="144"/>
      <c r="T237" s="54"/>
      <c r="AT237" s="18" t="s">
        <v>154</v>
      </c>
      <c r="AU237" s="18" t="s">
        <v>86</v>
      </c>
    </row>
    <row r="238" spans="2:51" s="12" customFormat="1" ht="12">
      <c r="B238" s="152"/>
      <c r="D238" s="145" t="s">
        <v>249</v>
      </c>
      <c r="E238" s="153" t="s">
        <v>19</v>
      </c>
      <c r="F238" s="154" t="s">
        <v>444</v>
      </c>
      <c r="H238" s="155">
        <v>952</v>
      </c>
      <c r="I238" s="156"/>
      <c r="L238" s="152"/>
      <c r="M238" s="157"/>
      <c r="T238" s="158"/>
      <c r="AT238" s="153" t="s">
        <v>249</v>
      </c>
      <c r="AU238" s="153" t="s">
        <v>86</v>
      </c>
      <c r="AV238" s="12" t="s">
        <v>86</v>
      </c>
      <c r="AW238" s="12" t="s">
        <v>37</v>
      </c>
      <c r="AX238" s="12" t="s">
        <v>76</v>
      </c>
      <c r="AY238" s="153" t="s">
        <v>144</v>
      </c>
    </row>
    <row r="239" spans="2:51" s="15" customFormat="1" ht="12">
      <c r="B239" s="182"/>
      <c r="D239" s="145" t="s">
        <v>249</v>
      </c>
      <c r="E239" s="183" t="s">
        <v>19</v>
      </c>
      <c r="F239" s="184" t="s">
        <v>445</v>
      </c>
      <c r="H239" s="185">
        <v>952</v>
      </c>
      <c r="I239" s="186"/>
      <c r="L239" s="182"/>
      <c r="M239" s="187"/>
      <c r="T239" s="188"/>
      <c r="AT239" s="183" t="s">
        <v>249</v>
      </c>
      <c r="AU239" s="183" t="s">
        <v>86</v>
      </c>
      <c r="AV239" s="15" t="s">
        <v>162</v>
      </c>
      <c r="AW239" s="15" t="s">
        <v>37</v>
      </c>
      <c r="AX239" s="15" t="s">
        <v>76</v>
      </c>
      <c r="AY239" s="183" t="s">
        <v>144</v>
      </c>
    </row>
    <row r="240" spans="2:51" s="12" customFormat="1" ht="12">
      <c r="B240" s="152"/>
      <c r="D240" s="145" t="s">
        <v>249</v>
      </c>
      <c r="E240" s="153" t="s">
        <v>19</v>
      </c>
      <c r="F240" s="154" t="s">
        <v>446</v>
      </c>
      <c r="H240" s="155">
        <v>142.8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37</v>
      </c>
      <c r="AX240" s="12" t="s">
        <v>76</v>
      </c>
      <c r="AY240" s="153" t="s">
        <v>144</v>
      </c>
    </row>
    <row r="241" spans="2:51" s="13" customFormat="1" ht="12">
      <c r="B241" s="159"/>
      <c r="D241" s="145" t="s">
        <v>249</v>
      </c>
      <c r="E241" s="160" t="s">
        <v>19</v>
      </c>
      <c r="F241" s="161" t="s">
        <v>251</v>
      </c>
      <c r="H241" s="162">
        <v>1094.8</v>
      </c>
      <c r="I241" s="163"/>
      <c r="L241" s="159"/>
      <c r="M241" s="164"/>
      <c r="T241" s="165"/>
      <c r="AT241" s="160" t="s">
        <v>249</v>
      </c>
      <c r="AU241" s="160" t="s">
        <v>86</v>
      </c>
      <c r="AV241" s="13" t="s">
        <v>166</v>
      </c>
      <c r="AW241" s="13" t="s">
        <v>37</v>
      </c>
      <c r="AX241" s="13" t="s">
        <v>84</v>
      </c>
      <c r="AY241" s="160" t="s">
        <v>144</v>
      </c>
    </row>
    <row r="242" spans="2:65" s="1" customFormat="1" ht="23.7" customHeight="1">
      <c r="B242" s="33"/>
      <c r="C242" s="172" t="s">
        <v>447</v>
      </c>
      <c r="D242" s="172" t="s">
        <v>410</v>
      </c>
      <c r="E242" s="173" t="s">
        <v>448</v>
      </c>
      <c r="F242" s="174" t="s">
        <v>449</v>
      </c>
      <c r="G242" s="175" t="s">
        <v>246</v>
      </c>
      <c r="H242" s="176">
        <v>1094.8</v>
      </c>
      <c r="I242" s="177"/>
      <c r="J242" s="178">
        <f>ROUND(I242*H242,2)</f>
        <v>0</v>
      </c>
      <c r="K242" s="174" t="s">
        <v>151</v>
      </c>
      <c r="L242" s="179"/>
      <c r="M242" s="180" t="s">
        <v>19</v>
      </c>
      <c r="N242" s="181" t="s">
        <v>47</v>
      </c>
      <c r="P242" s="137">
        <f>O242*H242</f>
        <v>0</v>
      </c>
      <c r="Q242" s="137">
        <v>0.00015</v>
      </c>
      <c r="R242" s="137">
        <f>Q242*H242</f>
        <v>0.16421999999999998</v>
      </c>
      <c r="S242" s="137">
        <v>0</v>
      </c>
      <c r="T242" s="138">
        <f>S242*H242</f>
        <v>0</v>
      </c>
      <c r="AR242" s="139" t="s">
        <v>189</v>
      </c>
      <c r="AT242" s="139" t="s">
        <v>410</v>
      </c>
      <c r="AU242" s="139" t="s">
        <v>86</v>
      </c>
      <c r="AY242" s="18" t="s">
        <v>144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8" t="s">
        <v>84</v>
      </c>
      <c r="BK242" s="140">
        <f>ROUND(I242*H242,2)</f>
        <v>0</v>
      </c>
      <c r="BL242" s="18" t="s">
        <v>166</v>
      </c>
      <c r="BM242" s="139" t="s">
        <v>450</v>
      </c>
    </row>
    <row r="243" spans="2:65" s="1" customFormat="1" ht="15" customHeight="1">
      <c r="B243" s="33"/>
      <c r="C243" s="128" t="s">
        <v>451</v>
      </c>
      <c r="D243" s="128" t="s">
        <v>147</v>
      </c>
      <c r="E243" s="129" t="s">
        <v>452</v>
      </c>
      <c r="F243" s="130" t="s">
        <v>453</v>
      </c>
      <c r="G243" s="131" t="s">
        <v>324</v>
      </c>
      <c r="H243" s="132">
        <v>71.4</v>
      </c>
      <c r="I243" s="133"/>
      <c r="J243" s="134">
        <f>ROUND(I243*H243,2)</f>
        <v>0</v>
      </c>
      <c r="K243" s="130" t="s">
        <v>432</v>
      </c>
      <c r="L243" s="33"/>
      <c r="M243" s="135" t="s">
        <v>19</v>
      </c>
      <c r="N243" s="136" t="s">
        <v>47</v>
      </c>
      <c r="P243" s="137">
        <f>O243*H243</f>
        <v>0</v>
      </c>
      <c r="Q243" s="137">
        <v>1.63</v>
      </c>
      <c r="R243" s="137">
        <f>Q243*H243</f>
        <v>116.382</v>
      </c>
      <c r="S243" s="137">
        <v>0</v>
      </c>
      <c r="T243" s="138">
        <f>S243*H243</f>
        <v>0</v>
      </c>
      <c r="AR243" s="139" t="s">
        <v>166</v>
      </c>
      <c r="AT243" s="139" t="s">
        <v>147</v>
      </c>
      <c r="AU243" s="139" t="s">
        <v>86</v>
      </c>
      <c r="AY243" s="18" t="s">
        <v>144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8" t="s">
        <v>84</v>
      </c>
      <c r="BK243" s="140">
        <f>ROUND(I243*H243,2)</f>
        <v>0</v>
      </c>
      <c r="BL243" s="18" t="s">
        <v>166</v>
      </c>
      <c r="BM243" s="139" t="s">
        <v>454</v>
      </c>
    </row>
    <row r="244" spans="2:47" s="1" customFormat="1" ht="12">
      <c r="B244" s="33"/>
      <c r="D244" s="141" t="s">
        <v>154</v>
      </c>
      <c r="F244" s="142" t="s">
        <v>455</v>
      </c>
      <c r="I244" s="143"/>
      <c r="L244" s="33"/>
      <c r="M244" s="144"/>
      <c r="T244" s="54"/>
      <c r="AT244" s="18" t="s">
        <v>154</v>
      </c>
      <c r="AU244" s="18" t="s">
        <v>86</v>
      </c>
    </row>
    <row r="245" spans="2:51" s="12" customFormat="1" ht="12">
      <c r="B245" s="152"/>
      <c r="D245" s="145" t="s">
        <v>249</v>
      </c>
      <c r="E245" s="153" t="s">
        <v>19</v>
      </c>
      <c r="F245" s="154" t="s">
        <v>456</v>
      </c>
      <c r="H245" s="155">
        <v>71.4</v>
      </c>
      <c r="I245" s="156"/>
      <c r="L245" s="152"/>
      <c r="M245" s="157"/>
      <c r="T245" s="158"/>
      <c r="AT245" s="153" t="s">
        <v>249</v>
      </c>
      <c r="AU245" s="153" t="s">
        <v>86</v>
      </c>
      <c r="AV245" s="12" t="s">
        <v>86</v>
      </c>
      <c r="AW245" s="12" t="s">
        <v>37</v>
      </c>
      <c r="AX245" s="12" t="s">
        <v>76</v>
      </c>
      <c r="AY245" s="153" t="s">
        <v>144</v>
      </c>
    </row>
    <row r="246" spans="2:51" s="13" customFormat="1" ht="12">
      <c r="B246" s="159"/>
      <c r="D246" s="145" t="s">
        <v>249</v>
      </c>
      <c r="E246" s="160" t="s">
        <v>19</v>
      </c>
      <c r="F246" s="161" t="s">
        <v>251</v>
      </c>
      <c r="H246" s="162">
        <v>71.4</v>
      </c>
      <c r="I246" s="163"/>
      <c r="L246" s="159"/>
      <c r="M246" s="164"/>
      <c r="T246" s="165"/>
      <c r="AT246" s="160" t="s">
        <v>249</v>
      </c>
      <c r="AU246" s="160" t="s">
        <v>86</v>
      </c>
      <c r="AV246" s="13" t="s">
        <v>166</v>
      </c>
      <c r="AW246" s="13" t="s">
        <v>37</v>
      </c>
      <c r="AX246" s="13" t="s">
        <v>84</v>
      </c>
      <c r="AY246" s="160" t="s">
        <v>144</v>
      </c>
    </row>
    <row r="247" spans="2:65" s="1" customFormat="1" ht="53.25" customHeight="1">
      <c r="B247" s="33"/>
      <c r="C247" s="128" t="s">
        <v>457</v>
      </c>
      <c r="D247" s="128" t="s">
        <v>147</v>
      </c>
      <c r="E247" s="129" t="s">
        <v>458</v>
      </c>
      <c r="F247" s="130" t="s">
        <v>459</v>
      </c>
      <c r="G247" s="131" t="s">
        <v>308</v>
      </c>
      <c r="H247" s="132">
        <v>476</v>
      </c>
      <c r="I247" s="133"/>
      <c r="J247" s="134">
        <f>ROUND(I247*H247,2)</f>
        <v>0</v>
      </c>
      <c r="K247" s="130" t="s">
        <v>441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0.27378</v>
      </c>
      <c r="R247" s="137">
        <f>Q247*H247</f>
        <v>130.31928000000002</v>
      </c>
      <c r="S247" s="137">
        <v>0</v>
      </c>
      <c r="T247" s="138">
        <f>S247*H247</f>
        <v>0</v>
      </c>
      <c r="AR247" s="139" t="s">
        <v>166</v>
      </c>
      <c r="AT247" s="139" t="s">
        <v>147</v>
      </c>
      <c r="AU247" s="139" t="s">
        <v>86</v>
      </c>
      <c r="AY247" s="18" t="s">
        <v>144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166</v>
      </c>
      <c r="BM247" s="139" t="s">
        <v>460</v>
      </c>
    </row>
    <row r="248" spans="2:47" s="1" customFormat="1" ht="12">
      <c r="B248" s="33"/>
      <c r="D248" s="141" t="s">
        <v>154</v>
      </c>
      <c r="F248" s="142" t="s">
        <v>461</v>
      </c>
      <c r="I248" s="143"/>
      <c r="L248" s="33"/>
      <c r="M248" s="144"/>
      <c r="T248" s="54"/>
      <c r="AT248" s="18" t="s">
        <v>154</v>
      </c>
      <c r="AU248" s="18" t="s">
        <v>86</v>
      </c>
    </row>
    <row r="249" spans="2:51" s="12" customFormat="1" ht="12">
      <c r="B249" s="152"/>
      <c r="D249" s="145" t="s">
        <v>249</v>
      </c>
      <c r="E249" s="153" t="s">
        <v>19</v>
      </c>
      <c r="F249" s="154" t="s">
        <v>462</v>
      </c>
      <c r="H249" s="155">
        <v>476</v>
      </c>
      <c r="I249" s="156"/>
      <c r="L249" s="152"/>
      <c r="M249" s="157"/>
      <c r="T249" s="158"/>
      <c r="AT249" s="153" t="s">
        <v>249</v>
      </c>
      <c r="AU249" s="153" t="s">
        <v>86</v>
      </c>
      <c r="AV249" s="12" t="s">
        <v>86</v>
      </c>
      <c r="AW249" s="12" t="s">
        <v>37</v>
      </c>
      <c r="AX249" s="12" t="s">
        <v>76</v>
      </c>
      <c r="AY249" s="153" t="s">
        <v>144</v>
      </c>
    </row>
    <row r="250" spans="2:51" s="13" customFormat="1" ht="12">
      <c r="B250" s="159"/>
      <c r="D250" s="145" t="s">
        <v>249</v>
      </c>
      <c r="E250" s="160" t="s">
        <v>19</v>
      </c>
      <c r="F250" s="161" t="s">
        <v>251</v>
      </c>
      <c r="H250" s="162">
        <v>476</v>
      </c>
      <c r="I250" s="163"/>
      <c r="L250" s="159"/>
      <c r="M250" s="164"/>
      <c r="T250" s="165"/>
      <c r="AT250" s="160" t="s">
        <v>249</v>
      </c>
      <c r="AU250" s="160" t="s">
        <v>86</v>
      </c>
      <c r="AV250" s="13" t="s">
        <v>166</v>
      </c>
      <c r="AW250" s="13" t="s">
        <v>37</v>
      </c>
      <c r="AX250" s="13" t="s">
        <v>84</v>
      </c>
      <c r="AY250" s="160" t="s">
        <v>144</v>
      </c>
    </row>
    <row r="251" spans="2:63" s="11" customFormat="1" ht="22.8" customHeight="1">
      <c r="B251" s="116"/>
      <c r="D251" s="117" t="s">
        <v>75</v>
      </c>
      <c r="E251" s="126" t="s">
        <v>166</v>
      </c>
      <c r="F251" s="126" t="s">
        <v>463</v>
      </c>
      <c r="I251" s="119"/>
      <c r="J251" s="127">
        <f>BK251</f>
        <v>0</v>
      </c>
      <c r="L251" s="116"/>
      <c r="M251" s="121"/>
      <c r="P251" s="122">
        <f>SUM(P252:P254)</f>
        <v>0</v>
      </c>
      <c r="R251" s="122">
        <f>SUM(R252:R254)</f>
        <v>0.60988</v>
      </c>
      <c r="T251" s="123">
        <f>SUM(T252:T254)</f>
        <v>0</v>
      </c>
      <c r="AR251" s="117" t="s">
        <v>84</v>
      </c>
      <c r="AT251" s="124" t="s">
        <v>75</v>
      </c>
      <c r="AU251" s="124" t="s">
        <v>84</v>
      </c>
      <c r="AY251" s="117" t="s">
        <v>144</v>
      </c>
      <c r="BK251" s="125">
        <f>SUM(BK252:BK254)</f>
        <v>0</v>
      </c>
    </row>
    <row r="252" spans="2:65" s="1" customFormat="1" ht="31.95" customHeight="1">
      <c r="B252" s="33"/>
      <c r="C252" s="128" t="s">
        <v>464</v>
      </c>
      <c r="D252" s="128" t="s">
        <v>147</v>
      </c>
      <c r="E252" s="129" t="s">
        <v>465</v>
      </c>
      <c r="F252" s="130" t="s">
        <v>466</v>
      </c>
      <c r="G252" s="131" t="s">
        <v>467</v>
      </c>
      <c r="H252" s="132">
        <v>2</v>
      </c>
      <c r="I252" s="133"/>
      <c r="J252" s="134">
        <f>ROUND(I252*H252,2)</f>
        <v>0</v>
      </c>
      <c r="K252" s="130" t="s">
        <v>151</v>
      </c>
      <c r="L252" s="33"/>
      <c r="M252" s="135" t="s">
        <v>19</v>
      </c>
      <c r="N252" s="136" t="s">
        <v>47</v>
      </c>
      <c r="P252" s="137">
        <f>O252*H252</f>
        <v>0</v>
      </c>
      <c r="Q252" s="137">
        <v>0.22394</v>
      </c>
      <c r="R252" s="137">
        <f>Q252*H252</f>
        <v>0.44788</v>
      </c>
      <c r="S252" s="137">
        <v>0</v>
      </c>
      <c r="T252" s="138">
        <f>S252*H252</f>
        <v>0</v>
      </c>
      <c r="AR252" s="139" t="s">
        <v>166</v>
      </c>
      <c r="AT252" s="139" t="s">
        <v>147</v>
      </c>
      <c r="AU252" s="139" t="s">
        <v>86</v>
      </c>
      <c r="AY252" s="18" t="s">
        <v>144</v>
      </c>
      <c r="BE252" s="140">
        <f>IF(N252="základní",J252,0)</f>
        <v>0</v>
      </c>
      <c r="BF252" s="140">
        <f>IF(N252="snížená",J252,0)</f>
        <v>0</v>
      </c>
      <c r="BG252" s="140">
        <f>IF(N252="zákl. přenesená",J252,0)</f>
        <v>0</v>
      </c>
      <c r="BH252" s="140">
        <f>IF(N252="sníž. přenesená",J252,0)</f>
        <v>0</v>
      </c>
      <c r="BI252" s="140">
        <f>IF(N252="nulová",J252,0)</f>
        <v>0</v>
      </c>
      <c r="BJ252" s="18" t="s">
        <v>84</v>
      </c>
      <c r="BK252" s="140">
        <f>ROUND(I252*H252,2)</f>
        <v>0</v>
      </c>
      <c r="BL252" s="18" t="s">
        <v>166</v>
      </c>
      <c r="BM252" s="139" t="s">
        <v>468</v>
      </c>
    </row>
    <row r="253" spans="2:47" s="1" customFormat="1" ht="12">
      <c r="B253" s="33"/>
      <c r="D253" s="141" t="s">
        <v>154</v>
      </c>
      <c r="F253" s="142" t="s">
        <v>469</v>
      </c>
      <c r="I253" s="143"/>
      <c r="L253" s="33"/>
      <c r="M253" s="144"/>
      <c r="T253" s="54"/>
      <c r="AT253" s="18" t="s">
        <v>154</v>
      </c>
      <c r="AU253" s="18" t="s">
        <v>86</v>
      </c>
    </row>
    <row r="254" spans="2:65" s="1" customFormat="1" ht="23.7" customHeight="1">
      <c r="B254" s="33"/>
      <c r="C254" s="172" t="s">
        <v>470</v>
      </c>
      <c r="D254" s="172" t="s">
        <v>410</v>
      </c>
      <c r="E254" s="173" t="s">
        <v>471</v>
      </c>
      <c r="F254" s="174" t="s">
        <v>472</v>
      </c>
      <c r="G254" s="175" t="s">
        <v>467</v>
      </c>
      <c r="H254" s="176">
        <v>2</v>
      </c>
      <c r="I254" s="177"/>
      <c r="J254" s="178">
        <f>ROUND(I254*H254,2)</f>
        <v>0</v>
      </c>
      <c r="K254" s="174" t="s">
        <v>151</v>
      </c>
      <c r="L254" s="179"/>
      <c r="M254" s="180" t="s">
        <v>19</v>
      </c>
      <c r="N254" s="181" t="s">
        <v>47</v>
      </c>
      <c r="P254" s="137">
        <f>O254*H254</f>
        <v>0</v>
      </c>
      <c r="Q254" s="137">
        <v>0.081</v>
      </c>
      <c r="R254" s="137">
        <f>Q254*H254</f>
        <v>0.162</v>
      </c>
      <c r="S254" s="137">
        <v>0</v>
      </c>
      <c r="T254" s="138">
        <f>S254*H254</f>
        <v>0</v>
      </c>
      <c r="AR254" s="139" t="s">
        <v>189</v>
      </c>
      <c r="AT254" s="139" t="s">
        <v>410</v>
      </c>
      <c r="AU254" s="139" t="s">
        <v>86</v>
      </c>
      <c r="AY254" s="18" t="s">
        <v>144</v>
      </c>
      <c r="BE254" s="140">
        <f>IF(N254="základní",J254,0)</f>
        <v>0</v>
      </c>
      <c r="BF254" s="140">
        <f>IF(N254="snížená",J254,0)</f>
        <v>0</v>
      </c>
      <c r="BG254" s="140">
        <f>IF(N254="zákl. přenesená",J254,0)</f>
        <v>0</v>
      </c>
      <c r="BH254" s="140">
        <f>IF(N254="sníž. přenesená",J254,0)</f>
        <v>0</v>
      </c>
      <c r="BI254" s="140">
        <f>IF(N254="nulová",J254,0)</f>
        <v>0</v>
      </c>
      <c r="BJ254" s="18" t="s">
        <v>84</v>
      </c>
      <c r="BK254" s="140">
        <f>ROUND(I254*H254,2)</f>
        <v>0</v>
      </c>
      <c r="BL254" s="18" t="s">
        <v>166</v>
      </c>
      <c r="BM254" s="139" t="s">
        <v>473</v>
      </c>
    </row>
    <row r="255" spans="2:63" s="11" customFormat="1" ht="22.8" customHeight="1">
      <c r="B255" s="116"/>
      <c r="D255" s="117" t="s">
        <v>75</v>
      </c>
      <c r="E255" s="126" t="s">
        <v>143</v>
      </c>
      <c r="F255" s="126" t="s">
        <v>474</v>
      </c>
      <c r="I255" s="119"/>
      <c r="J255" s="127">
        <f>BK255</f>
        <v>0</v>
      </c>
      <c r="L255" s="116"/>
      <c r="M255" s="121"/>
      <c r="P255" s="122">
        <f>SUM(P256:P345)</f>
        <v>0</v>
      </c>
      <c r="R255" s="122">
        <f>SUM(R256:R345)</f>
        <v>581.2641759999999</v>
      </c>
      <c r="T255" s="123">
        <f>SUM(T256:T345)</f>
        <v>0</v>
      </c>
      <c r="AR255" s="117" t="s">
        <v>84</v>
      </c>
      <c r="AT255" s="124" t="s">
        <v>75</v>
      </c>
      <c r="AU255" s="124" t="s">
        <v>84</v>
      </c>
      <c r="AY255" s="117" t="s">
        <v>144</v>
      </c>
      <c r="BK255" s="125">
        <f>SUM(BK256:BK345)</f>
        <v>0</v>
      </c>
    </row>
    <row r="256" spans="2:65" s="1" customFormat="1" ht="36.6" customHeight="1">
      <c r="B256" s="33"/>
      <c r="C256" s="128" t="s">
        <v>475</v>
      </c>
      <c r="D256" s="128" t="s">
        <v>147</v>
      </c>
      <c r="E256" s="129" t="s">
        <v>476</v>
      </c>
      <c r="F256" s="130" t="s">
        <v>477</v>
      </c>
      <c r="G256" s="131" t="s">
        <v>246</v>
      </c>
      <c r="H256" s="132">
        <v>661</v>
      </c>
      <c r="I256" s="133"/>
      <c r="J256" s="134">
        <f>ROUND(I256*H256,2)</f>
        <v>0</v>
      </c>
      <c r="K256" s="130" t="s">
        <v>19</v>
      </c>
      <c r="L256" s="33"/>
      <c r="M256" s="135" t="s">
        <v>19</v>
      </c>
      <c r="N256" s="136" t="s">
        <v>47</v>
      </c>
      <c r="P256" s="137">
        <f>O256*H256</f>
        <v>0</v>
      </c>
      <c r="Q256" s="137">
        <v>0</v>
      </c>
      <c r="R256" s="137">
        <f>Q256*H256</f>
        <v>0</v>
      </c>
      <c r="S256" s="137">
        <v>0</v>
      </c>
      <c r="T256" s="138">
        <f>S256*H256</f>
        <v>0</v>
      </c>
      <c r="AR256" s="139" t="s">
        <v>166</v>
      </c>
      <c r="AT256" s="139" t="s">
        <v>147</v>
      </c>
      <c r="AU256" s="139" t="s">
        <v>86</v>
      </c>
      <c r="AY256" s="18" t="s">
        <v>144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8" t="s">
        <v>84</v>
      </c>
      <c r="BK256" s="140">
        <f>ROUND(I256*H256,2)</f>
        <v>0</v>
      </c>
      <c r="BL256" s="18" t="s">
        <v>166</v>
      </c>
      <c r="BM256" s="139" t="s">
        <v>478</v>
      </c>
    </row>
    <row r="257" spans="2:47" s="1" customFormat="1" ht="57.6">
      <c r="B257" s="33"/>
      <c r="D257" s="145" t="s">
        <v>156</v>
      </c>
      <c r="F257" s="146" t="s">
        <v>479</v>
      </c>
      <c r="I257" s="143"/>
      <c r="L257" s="33"/>
      <c r="M257" s="144"/>
      <c r="T257" s="54"/>
      <c r="AT257" s="18" t="s">
        <v>156</v>
      </c>
      <c r="AU257" s="18" t="s">
        <v>86</v>
      </c>
    </row>
    <row r="258" spans="2:51" s="12" customFormat="1" ht="12">
      <c r="B258" s="152"/>
      <c r="D258" s="145" t="s">
        <v>249</v>
      </c>
      <c r="E258" s="153" t="s">
        <v>19</v>
      </c>
      <c r="F258" s="154" t="s">
        <v>480</v>
      </c>
      <c r="H258" s="155">
        <v>661</v>
      </c>
      <c r="I258" s="156"/>
      <c r="L258" s="152"/>
      <c r="M258" s="157"/>
      <c r="T258" s="158"/>
      <c r="AT258" s="153" t="s">
        <v>249</v>
      </c>
      <c r="AU258" s="153" t="s">
        <v>86</v>
      </c>
      <c r="AV258" s="12" t="s">
        <v>86</v>
      </c>
      <c r="AW258" s="12" t="s">
        <v>37</v>
      </c>
      <c r="AX258" s="12" t="s">
        <v>76</v>
      </c>
      <c r="AY258" s="153" t="s">
        <v>144</v>
      </c>
    </row>
    <row r="259" spans="2:51" s="13" customFormat="1" ht="12">
      <c r="B259" s="159"/>
      <c r="D259" s="145" t="s">
        <v>249</v>
      </c>
      <c r="E259" s="160" t="s">
        <v>19</v>
      </c>
      <c r="F259" s="161" t="s">
        <v>251</v>
      </c>
      <c r="H259" s="162">
        <v>661</v>
      </c>
      <c r="I259" s="163"/>
      <c r="L259" s="159"/>
      <c r="M259" s="164"/>
      <c r="T259" s="165"/>
      <c r="AT259" s="160" t="s">
        <v>249</v>
      </c>
      <c r="AU259" s="160" t="s">
        <v>86</v>
      </c>
      <c r="AV259" s="13" t="s">
        <v>166</v>
      </c>
      <c r="AW259" s="13" t="s">
        <v>37</v>
      </c>
      <c r="AX259" s="13" t="s">
        <v>84</v>
      </c>
      <c r="AY259" s="160" t="s">
        <v>144</v>
      </c>
    </row>
    <row r="260" spans="2:65" s="1" customFormat="1" ht="31.95" customHeight="1">
      <c r="B260" s="33"/>
      <c r="C260" s="128" t="s">
        <v>481</v>
      </c>
      <c r="D260" s="128" t="s">
        <v>147</v>
      </c>
      <c r="E260" s="129" t="s">
        <v>482</v>
      </c>
      <c r="F260" s="130" t="s">
        <v>483</v>
      </c>
      <c r="G260" s="131" t="s">
        <v>246</v>
      </c>
      <c r="H260" s="132">
        <v>1796.5</v>
      </c>
      <c r="I260" s="133"/>
      <c r="J260" s="134">
        <f>ROUND(I260*H260,2)</f>
        <v>0</v>
      </c>
      <c r="K260" s="130" t="s">
        <v>151</v>
      </c>
      <c r="L260" s="33"/>
      <c r="M260" s="135" t="s">
        <v>19</v>
      </c>
      <c r="N260" s="136" t="s">
        <v>47</v>
      </c>
      <c r="P260" s="137">
        <f>O260*H260</f>
        <v>0</v>
      </c>
      <c r="Q260" s="137">
        <v>0</v>
      </c>
      <c r="R260" s="137">
        <f>Q260*H260</f>
        <v>0</v>
      </c>
      <c r="S260" s="137">
        <v>0</v>
      </c>
      <c r="T260" s="138">
        <f>S260*H260</f>
        <v>0</v>
      </c>
      <c r="AR260" s="139" t="s">
        <v>166</v>
      </c>
      <c r="AT260" s="139" t="s">
        <v>147</v>
      </c>
      <c r="AU260" s="139" t="s">
        <v>86</v>
      </c>
      <c r="AY260" s="18" t="s">
        <v>144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8" t="s">
        <v>84</v>
      </c>
      <c r="BK260" s="140">
        <f>ROUND(I260*H260,2)</f>
        <v>0</v>
      </c>
      <c r="BL260" s="18" t="s">
        <v>166</v>
      </c>
      <c r="BM260" s="139" t="s">
        <v>484</v>
      </c>
    </row>
    <row r="261" spans="2:47" s="1" customFormat="1" ht="12">
      <c r="B261" s="33"/>
      <c r="D261" s="141" t="s">
        <v>154</v>
      </c>
      <c r="F261" s="142" t="s">
        <v>485</v>
      </c>
      <c r="I261" s="143"/>
      <c r="L261" s="33"/>
      <c r="M261" s="144"/>
      <c r="T261" s="54"/>
      <c r="AT261" s="18" t="s">
        <v>154</v>
      </c>
      <c r="AU261" s="18" t="s">
        <v>86</v>
      </c>
    </row>
    <row r="262" spans="2:47" s="1" customFormat="1" ht="19.2">
      <c r="B262" s="33"/>
      <c r="D262" s="145" t="s">
        <v>156</v>
      </c>
      <c r="F262" s="146" t="s">
        <v>486</v>
      </c>
      <c r="I262" s="143"/>
      <c r="L262" s="33"/>
      <c r="M262" s="144"/>
      <c r="T262" s="54"/>
      <c r="AT262" s="18" t="s">
        <v>156</v>
      </c>
      <c r="AU262" s="18" t="s">
        <v>86</v>
      </c>
    </row>
    <row r="263" spans="2:51" s="12" customFormat="1" ht="20.4">
      <c r="B263" s="152"/>
      <c r="D263" s="145" t="s">
        <v>249</v>
      </c>
      <c r="E263" s="153" t="s">
        <v>19</v>
      </c>
      <c r="F263" s="154" t="s">
        <v>487</v>
      </c>
      <c r="H263" s="155">
        <v>187</v>
      </c>
      <c r="I263" s="156"/>
      <c r="L263" s="152"/>
      <c r="M263" s="157"/>
      <c r="T263" s="158"/>
      <c r="AT263" s="153" t="s">
        <v>249</v>
      </c>
      <c r="AU263" s="153" t="s">
        <v>86</v>
      </c>
      <c r="AV263" s="12" t="s">
        <v>86</v>
      </c>
      <c r="AW263" s="12" t="s">
        <v>37</v>
      </c>
      <c r="AX263" s="12" t="s">
        <v>76</v>
      </c>
      <c r="AY263" s="153" t="s">
        <v>144</v>
      </c>
    </row>
    <row r="264" spans="2:51" s="12" customFormat="1" ht="12">
      <c r="B264" s="152"/>
      <c r="D264" s="145" t="s">
        <v>249</v>
      </c>
      <c r="E264" s="153" t="s">
        <v>19</v>
      </c>
      <c r="F264" s="154" t="s">
        <v>480</v>
      </c>
      <c r="H264" s="155">
        <v>661</v>
      </c>
      <c r="I264" s="156"/>
      <c r="L264" s="152"/>
      <c r="M264" s="157"/>
      <c r="T264" s="158"/>
      <c r="AT264" s="153" t="s">
        <v>249</v>
      </c>
      <c r="AU264" s="153" t="s">
        <v>86</v>
      </c>
      <c r="AV264" s="12" t="s">
        <v>86</v>
      </c>
      <c r="AW264" s="12" t="s">
        <v>37</v>
      </c>
      <c r="AX264" s="12" t="s">
        <v>76</v>
      </c>
      <c r="AY264" s="153" t="s">
        <v>144</v>
      </c>
    </row>
    <row r="265" spans="2:51" s="12" customFormat="1" ht="12">
      <c r="B265" s="152"/>
      <c r="D265" s="145" t="s">
        <v>249</v>
      </c>
      <c r="E265" s="153" t="s">
        <v>19</v>
      </c>
      <c r="F265" s="154" t="s">
        <v>488</v>
      </c>
      <c r="H265" s="155">
        <v>66.5</v>
      </c>
      <c r="I265" s="156"/>
      <c r="L265" s="152"/>
      <c r="M265" s="157"/>
      <c r="T265" s="158"/>
      <c r="AT265" s="153" t="s">
        <v>249</v>
      </c>
      <c r="AU265" s="153" t="s">
        <v>86</v>
      </c>
      <c r="AV265" s="12" t="s">
        <v>86</v>
      </c>
      <c r="AW265" s="12" t="s">
        <v>37</v>
      </c>
      <c r="AX265" s="12" t="s">
        <v>76</v>
      </c>
      <c r="AY265" s="153" t="s">
        <v>144</v>
      </c>
    </row>
    <row r="266" spans="2:51" s="12" customFormat="1" ht="20.4">
      <c r="B266" s="152"/>
      <c r="D266" s="145" t="s">
        <v>249</v>
      </c>
      <c r="E266" s="153" t="s">
        <v>19</v>
      </c>
      <c r="F266" s="154" t="s">
        <v>489</v>
      </c>
      <c r="H266" s="155">
        <v>870</v>
      </c>
      <c r="I266" s="156"/>
      <c r="L266" s="152"/>
      <c r="M266" s="157"/>
      <c r="T266" s="158"/>
      <c r="AT266" s="153" t="s">
        <v>249</v>
      </c>
      <c r="AU266" s="153" t="s">
        <v>86</v>
      </c>
      <c r="AV266" s="12" t="s">
        <v>86</v>
      </c>
      <c r="AW266" s="12" t="s">
        <v>37</v>
      </c>
      <c r="AX266" s="12" t="s">
        <v>76</v>
      </c>
      <c r="AY266" s="153" t="s">
        <v>144</v>
      </c>
    </row>
    <row r="267" spans="2:51" s="12" customFormat="1" ht="12">
      <c r="B267" s="152"/>
      <c r="D267" s="145" t="s">
        <v>249</v>
      </c>
      <c r="E267" s="153" t="s">
        <v>19</v>
      </c>
      <c r="F267" s="154" t="s">
        <v>490</v>
      </c>
      <c r="H267" s="155">
        <v>12</v>
      </c>
      <c r="I267" s="156"/>
      <c r="L267" s="152"/>
      <c r="M267" s="157"/>
      <c r="T267" s="158"/>
      <c r="AT267" s="153" t="s">
        <v>249</v>
      </c>
      <c r="AU267" s="153" t="s">
        <v>86</v>
      </c>
      <c r="AV267" s="12" t="s">
        <v>86</v>
      </c>
      <c r="AW267" s="12" t="s">
        <v>37</v>
      </c>
      <c r="AX267" s="12" t="s">
        <v>76</v>
      </c>
      <c r="AY267" s="153" t="s">
        <v>144</v>
      </c>
    </row>
    <row r="268" spans="2:51" s="13" customFormat="1" ht="12">
      <c r="B268" s="159"/>
      <c r="D268" s="145" t="s">
        <v>249</v>
      </c>
      <c r="E268" s="160" t="s">
        <v>19</v>
      </c>
      <c r="F268" s="161" t="s">
        <v>251</v>
      </c>
      <c r="H268" s="162">
        <v>1796.5</v>
      </c>
      <c r="I268" s="163"/>
      <c r="L268" s="159"/>
      <c r="M268" s="164"/>
      <c r="T268" s="165"/>
      <c r="AT268" s="160" t="s">
        <v>249</v>
      </c>
      <c r="AU268" s="160" t="s">
        <v>86</v>
      </c>
      <c r="AV268" s="13" t="s">
        <v>166</v>
      </c>
      <c r="AW268" s="13" t="s">
        <v>37</v>
      </c>
      <c r="AX268" s="13" t="s">
        <v>84</v>
      </c>
      <c r="AY268" s="160" t="s">
        <v>144</v>
      </c>
    </row>
    <row r="269" spans="2:65" s="1" customFormat="1" ht="36.6" customHeight="1">
      <c r="B269" s="33"/>
      <c r="C269" s="128" t="s">
        <v>491</v>
      </c>
      <c r="D269" s="128" t="s">
        <v>147</v>
      </c>
      <c r="E269" s="129" t="s">
        <v>492</v>
      </c>
      <c r="F269" s="130" t="s">
        <v>493</v>
      </c>
      <c r="G269" s="131" t="s">
        <v>246</v>
      </c>
      <c r="H269" s="132">
        <v>727.5</v>
      </c>
      <c r="I269" s="133"/>
      <c r="J269" s="134">
        <f>ROUND(I269*H269,2)</f>
        <v>0</v>
      </c>
      <c r="K269" s="130" t="s">
        <v>19</v>
      </c>
      <c r="L269" s="33"/>
      <c r="M269" s="135" t="s">
        <v>19</v>
      </c>
      <c r="N269" s="136" t="s">
        <v>47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166</v>
      </c>
      <c r="AT269" s="139" t="s">
        <v>147</v>
      </c>
      <c r="AU269" s="139" t="s">
        <v>86</v>
      </c>
      <c r="AY269" s="18" t="s">
        <v>144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8" t="s">
        <v>84</v>
      </c>
      <c r="BK269" s="140">
        <f>ROUND(I269*H269,2)</f>
        <v>0</v>
      </c>
      <c r="BL269" s="18" t="s">
        <v>166</v>
      </c>
      <c r="BM269" s="139" t="s">
        <v>494</v>
      </c>
    </row>
    <row r="270" spans="2:47" s="1" customFormat="1" ht="38.4">
      <c r="B270" s="33"/>
      <c r="D270" s="145" t="s">
        <v>156</v>
      </c>
      <c r="F270" s="146" t="s">
        <v>495</v>
      </c>
      <c r="I270" s="143"/>
      <c r="L270" s="33"/>
      <c r="M270" s="144"/>
      <c r="T270" s="54"/>
      <c r="AT270" s="18" t="s">
        <v>156</v>
      </c>
      <c r="AU270" s="18" t="s">
        <v>86</v>
      </c>
    </row>
    <row r="271" spans="2:51" s="12" customFormat="1" ht="12">
      <c r="B271" s="152"/>
      <c r="D271" s="145" t="s">
        <v>249</v>
      </c>
      <c r="E271" s="153" t="s">
        <v>19</v>
      </c>
      <c r="F271" s="154" t="s">
        <v>480</v>
      </c>
      <c r="H271" s="155">
        <v>661</v>
      </c>
      <c r="I271" s="156"/>
      <c r="L271" s="152"/>
      <c r="M271" s="157"/>
      <c r="T271" s="158"/>
      <c r="AT271" s="153" t="s">
        <v>249</v>
      </c>
      <c r="AU271" s="153" t="s">
        <v>86</v>
      </c>
      <c r="AV271" s="12" t="s">
        <v>86</v>
      </c>
      <c r="AW271" s="12" t="s">
        <v>37</v>
      </c>
      <c r="AX271" s="12" t="s">
        <v>76</v>
      </c>
      <c r="AY271" s="153" t="s">
        <v>144</v>
      </c>
    </row>
    <row r="272" spans="2:51" s="12" customFormat="1" ht="12">
      <c r="B272" s="152"/>
      <c r="D272" s="145" t="s">
        <v>249</v>
      </c>
      <c r="E272" s="153" t="s">
        <v>19</v>
      </c>
      <c r="F272" s="154" t="s">
        <v>488</v>
      </c>
      <c r="H272" s="155">
        <v>66.5</v>
      </c>
      <c r="I272" s="156"/>
      <c r="L272" s="152"/>
      <c r="M272" s="157"/>
      <c r="T272" s="158"/>
      <c r="AT272" s="153" t="s">
        <v>249</v>
      </c>
      <c r="AU272" s="153" t="s">
        <v>86</v>
      </c>
      <c r="AV272" s="12" t="s">
        <v>86</v>
      </c>
      <c r="AW272" s="12" t="s">
        <v>37</v>
      </c>
      <c r="AX272" s="12" t="s">
        <v>76</v>
      </c>
      <c r="AY272" s="153" t="s">
        <v>144</v>
      </c>
    </row>
    <row r="273" spans="2:51" s="13" customFormat="1" ht="12">
      <c r="B273" s="159"/>
      <c r="D273" s="145" t="s">
        <v>249</v>
      </c>
      <c r="E273" s="160" t="s">
        <v>19</v>
      </c>
      <c r="F273" s="161" t="s">
        <v>251</v>
      </c>
      <c r="H273" s="162">
        <v>727.5</v>
      </c>
      <c r="I273" s="163"/>
      <c r="L273" s="159"/>
      <c r="M273" s="164"/>
      <c r="T273" s="165"/>
      <c r="AT273" s="160" t="s">
        <v>249</v>
      </c>
      <c r="AU273" s="160" t="s">
        <v>86</v>
      </c>
      <c r="AV273" s="13" t="s">
        <v>166</v>
      </c>
      <c r="AW273" s="13" t="s">
        <v>37</v>
      </c>
      <c r="AX273" s="13" t="s">
        <v>84</v>
      </c>
      <c r="AY273" s="160" t="s">
        <v>144</v>
      </c>
    </row>
    <row r="274" spans="2:65" s="1" customFormat="1" ht="31.95" customHeight="1">
      <c r="B274" s="33"/>
      <c r="C274" s="128" t="s">
        <v>496</v>
      </c>
      <c r="D274" s="128" t="s">
        <v>147</v>
      </c>
      <c r="E274" s="129" t="s">
        <v>497</v>
      </c>
      <c r="F274" s="130" t="s">
        <v>498</v>
      </c>
      <c r="G274" s="131" t="s">
        <v>246</v>
      </c>
      <c r="H274" s="132">
        <v>4935</v>
      </c>
      <c r="I274" s="133"/>
      <c r="J274" s="134">
        <f>ROUND(I274*H274,2)</f>
        <v>0</v>
      </c>
      <c r="K274" s="130" t="s">
        <v>151</v>
      </c>
      <c r="L274" s="33"/>
      <c r="M274" s="135" t="s">
        <v>19</v>
      </c>
      <c r="N274" s="136" t="s">
        <v>47</v>
      </c>
      <c r="P274" s="137">
        <f>O274*H274</f>
        <v>0</v>
      </c>
      <c r="Q274" s="137">
        <v>0</v>
      </c>
      <c r="R274" s="137">
        <f>Q274*H274</f>
        <v>0</v>
      </c>
      <c r="S274" s="137">
        <v>0</v>
      </c>
      <c r="T274" s="138">
        <f>S274*H274</f>
        <v>0</v>
      </c>
      <c r="AR274" s="139" t="s">
        <v>166</v>
      </c>
      <c r="AT274" s="139" t="s">
        <v>147</v>
      </c>
      <c r="AU274" s="139" t="s">
        <v>86</v>
      </c>
      <c r="AY274" s="18" t="s">
        <v>144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8" t="s">
        <v>84</v>
      </c>
      <c r="BK274" s="140">
        <f>ROUND(I274*H274,2)</f>
        <v>0</v>
      </c>
      <c r="BL274" s="18" t="s">
        <v>166</v>
      </c>
      <c r="BM274" s="139" t="s">
        <v>499</v>
      </c>
    </row>
    <row r="275" spans="2:47" s="1" customFormat="1" ht="12">
      <c r="B275" s="33"/>
      <c r="D275" s="141" t="s">
        <v>154</v>
      </c>
      <c r="F275" s="142" t="s">
        <v>500</v>
      </c>
      <c r="I275" s="143"/>
      <c r="L275" s="33"/>
      <c r="M275" s="144"/>
      <c r="T275" s="54"/>
      <c r="AT275" s="18" t="s">
        <v>154</v>
      </c>
      <c r="AU275" s="18" t="s">
        <v>86</v>
      </c>
    </row>
    <row r="276" spans="2:47" s="1" customFormat="1" ht="19.2">
      <c r="B276" s="33"/>
      <c r="D276" s="145" t="s">
        <v>156</v>
      </c>
      <c r="F276" s="146" t="s">
        <v>486</v>
      </c>
      <c r="I276" s="143"/>
      <c r="L276" s="33"/>
      <c r="M276" s="144"/>
      <c r="T276" s="54"/>
      <c r="AT276" s="18" t="s">
        <v>156</v>
      </c>
      <c r="AU276" s="18" t="s">
        <v>86</v>
      </c>
    </row>
    <row r="277" spans="2:51" s="12" customFormat="1" ht="20.4">
      <c r="B277" s="152"/>
      <c r="D277" s="145" t="s">
        <v>249</v>
      </c>
      <c r="E277" s="153" t="s">
        <v>19</v>
      </c>
      <c r="F277" s="154" t="s">
        <v>501</v>
      </c>
      <c r="H277" s="155">
        <v>4194</v>
      </c>
      <c r="I277" s="156"/>
      <c r="L277" s="152"/>
      <c r="M277" s="157"/>
      <c r="T277" s="158"/>
      <c r="AT277" s="153" t="s">
        <v>249</v>
      </c>
      <c r="AU277" s="153" t="s">
        <v>86</v>
      </c>
      <c r="AV277" s="12" t="s">
        <v>86</v>
      </c>
      <c r="AW277" s="12" t="s">
        <v>37</v>
      </c>
      <c r="AX277" s="12" t="s">
        <v>76</v>
      </c>
      <c r="AY277" s="153" t="s">
        <v>144</v>
      </c>
    </row>
    <row r="278" spans="2:51" s="12" customFormat="1" ht="12">
      <c r="B278" s="152"/>
      <c r="D278" s="145" t="s">
        <v>249</v>
      </c>
      <c r="E278" s="153" t="s">
        <v>19</v>
      </c>
      <c r="F278" s="154" t="s">
        <v>502</v>
      </c>
      <c r="H278" s="155">
        <v>489</v>
      </c>
      <c r="I278" s="156"/>
      <c r="L278" s="152"/>
      <c r="M278" s="157"/>
      <c r="T278" s="158"/>
      <c r="AT278" s="153" t="s">
        <v>249</v>
      </c>
      <c r="AU278" s="153" t="s">
        <v>86</v>
      </c>
      <c r="AV278" s="12" t="s">
        <v>86</v>
      </c>
      <c r="AW278" s="12" t="s">
        <v>37</v>
      </c>
      <c r="AX278" s="12" t="s">
        <v>76</v>
      </c>
      <c r="AY278" s="153" t="s">
        <v>144</v>
      </c>
    </row>
    <row r="279" spans="2:51" s="12" customFormat="1" ht="12">
      <c r="B279" s="152"/>
      <c r="D279" s="145" t="s">
        <v>249</v>
      </c>
      <c r="E279" s="153" t="s">
        <v>19</v>
      </c>
      <c r="F279" s="154" t="s">
        <v>503</v>
      </c>
      <c r="H279" s="155">
        <v>252</v>
      </c>
      <c r="I279" s="156"/>
      <c r="L279" s="152"/>
      <c r="M279" s="157"/>
      <c r="T279" s="158"/>
      <c r="AT279" s="153" t="s">
        <v>249</v>
      </c>
      <c r="AU279" s="153" t="s">
        <v>86</v>
      </c>
      <c r="AV279" s="12" t="s">
        <v>86</v>
      </c>
      <c r="AW279" s="12" t="s">
        <v>37</v>
      </c>
      <c r="AX279" s="12" t="s">
        <v>76</v>
      </c>
      <c r="AY279" s="153" t="s">
        <v>144</v>
      </c>
    </row>
    <row r="280" spans="2:51" s="13" customFormat="1" ht="12">
      <c r="B280" s="159"/>
      <c r="D280" s="145" t="s">
        <v>249</v>
      </c>
      <c r="E280" s="160" t="s">
        <v>19</v>
      </c>
      <c r="F280" s="161" t="s">
        <v>251</v>
      </c>
      <c r="H280" s="162">
        <v>4935</v>
      </c>
      <c r="I280" s="163"/>
      <c r="L280" s="159"/>
      <c r="M280" s="164"/>
      <c r="T280" s="165"/>
      <c r="AT280" s="160" t="s">
        <v>249</v>
      </c>
      <c r="AU280" s="160" t="s">
        <v>86</v>
      </c>
      <c r="AV280" s="13" t="s">
        <v>166</v>
      </c>
      <c r="AW280" s="13" t="s">
        <v>37</v>
      </c>
      <c r="AX280" s="13" t="s">
        <v>84</v>
      </c>
      <c r="AY280" s="160" t="s">
        <v>144</v>
      </c>
    </row>
    <row r="281" spans="2:65" s="1" customFormat="1" ht="47.4" customHeight="1">
      <c r="B281" s="33"/>
      <c r="C281" s="128" t="s">
        <v>504</v>
      </c>
      <c r="D281" s="128" t="s">
        <v>147</v>
      </c>
      <c r="E281" s="129" t="s">
        <v>505</v>
      </c>
      <c r="F281" s="130" t="s">
        <v>506</v>
      </c>
      <c r="G281" s="131" t="s">
        <v>246</v>
      </c>
      <c r="H281" s="132">
        <v>528</v>
      </c>
      <c r="I281" s="133"/>
      <c r="J281" s="134">
        <f>ROUND(I281*H281,2)</f>
        <v>0</v>
      </c>
      <c r="K281" s="130" t="s">
        <v>441</v>
      </c>
      <c r="L281" s="33"/>
      <c r="M281" s="135" t="s">
        <v>19</v>
      </c>
      <c r="N281" s="136" t="s">
        <v>47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166</v>
      </c>
      <c r="AT281" s="139" t="s">
        <v>147</v>
      </c>
      <c r="AU281" s="139" t="s">
        <v>86</v>
      </c>
      <c r="AY281" s="18" t="s">
        <v>144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84</v>
      </c>
      <c r="BK281" s="140">
        <f>ROUND(I281*H281,2)</f>
        <v>0</v>
      </c>
      <c r="BL281" s="18" t="s">
        <v>166</v>
      </c>
      <c r="BM281" s="139" t="s">
        <v>507</v>
      </c>
    </row>
    <row r="282" spans="2:47" s="1" customFormat="1" ht="12">
      <c r="B282" s="33"/>
      <c r="D282" s="141" t="s">
        <v>154</v>
      </c>
      <c r="F282" s="142" t="s">
        <v>508</v>
      </c>
      <c r="I282" s="143"/>
      <c r="L282" s="33"/>
      <c r="M282" s="144"/>
      <c r="T282" s="54"/>
      <c r="AT282" s="18" t="s">
        <v>154</v>
      </c>
      <c r="AU282" s="18" t="s">
        <v>86</v>
      </c>
    </row>
    <row r="283" spans="2:47" s="1" customFormat="1" ht="19.2">
      <c r="B283" s="33"/>
      <c r="D283" s="145" t="s">
        <v>156</v>
      </c>
      <c r="F283" s="146" t="s">
        <v>509</v>
      </c>
      <c r="I283" s="143"/>
      <c r="L283" s="33"/>
      <c r="M283" s="144"/>
      <c r="T283" s="54"/>
      <c r="AT283" s="18" t="s">
        <v>156</v>
      </c>
      <c r="AU283" s="18" t="s">
        <v>86</v>
      </c>
    </row>
    <row r="284" spans="2:51" s="12" customFormat="1" ht="12">
      <c r="B284" s="152"/>
      <c r="D284" s="145" t="s">
        <v>249</v>
      </c>
      <c r="E284" s="153" t="s">
        <v>19</v>
      </c>
      <c r="F284" s="154" t="s">
        <v>510</v>
      </c>
      <c r="H284" s="155">
        <v>528</v>
      </c>
      <c r="I284" s="156"/>
      <c r="L284" s="152"/>
      <c r="M284" s="157"/>
      <c r="T284" s="158"/>
      <c r="AT284" s="153" t="s">
        <v>249</v>
      </c>
      <c r="AU284" s="153" t="s">
        <v>86</v>
      </c>
      <c r="AV284" s="12" t="s">
        <v>86</v>
      </c>
      <c r="AW284" s="12" t="s">
        <v>37</v>
      </c>
      <c r="AX284" s="12" t="s">
        <v>76</v>
      </c>
      <c r="AY284" s="153" t="s">
        <v>144</v>
      </c>
    </row>
    <row r="285" spans="2:51" s="13" customFormat="1" ht="12">
      <c r="B285" s="159"/>
      <c r="D285" s="145" t="s">
        <v>249</v>
      </c>
      <c r="E285" s="160" t="s">
        <v>19</v>
      </c>
      <c r="F285" s="161" t="s">
        <v>251</v>
      </c>
      <c r="H285" s="162">
        <v>528</v>
      </c>
      <c r="I285" s="163"/>
      <c r="L285" s="159"/>
      <c r="M285" s="164"/>
      <c r="T285" s="165"/>
      <c r="AT285" s="160" t="s">
        <v>249</v>
      </c>
      <c r="AU285" s="160" t="s">
        <v>86</v>
      </c>
      <c r="AV285" s="13" t="s">
        <v>166</v>
      </c>
      <c r="AW285" s="13" t="s">
        <v>37</v>
      </c>
      <c r="AX285" s="13" t="s">
        <v>84</v>
      </c>
      <c r="AY285" s="160" t="s">
        <v>144</v>
      </c>
    </row>
    <row r="286" spans="2:65" s="1" customFormat="1" ht="36.6" customHeight="1">
      <c r="B286" s="33"/>
      <c r="C286" s="128" t="s">
        <v>511</v>
      </c>
      <c r="D286" s="128" t="s">
        <v>147</v>
      </c>
      <c r="E286" s="129" t="s">
        <v>512</v>
      </c>
      <c r="F286" s="130" t="s">
        <v>513</v>
      </c>
      <c r="G286" s="131" t="s">
        <v>246</v>
      </c>
      <c r="H286" s="132">
        <v>164</v>
      </c>
      <c r="I286" s="133"/>
      <c r="J286" s="134">
        <f>ROUND(I286*H286,2)</f>
        <v>0</v>
      </c>
      <c r="K286" s="130" t="s">
        <v>151</v>
      </c>
      <c r="L286" s="33"/>
      <c r="M286" s="135" t="s">
        <v>19</v>
      </c>
      <c r="N286" s="136" t="s">
        <v>47</v>
      </c>
      <c r="P286" s="137">
        <f>O286*H286</f>
        <v>0</v>
      </c>
      <c r="Q286" s="137">
        <v>0</v>
      </c>
      <c r="R286" s="137">
        <f>Q286*H286</f>
        <v>0</v>
      </c>
      <c r="S286" s="137">
        <v>0</v>
      </c>
      <c r="T286" s="138">
        <f>S286*H286</f>
        <v>0</v>
      </c>
      <c r="AR286" s="139" t="s">
        <v>166</v>
      </c>
      <c r="AT286" s="139" t="s">
        <v>147</v>
      </c>
      <c r="AU286" s="139" t="s">
        <v>86</v>
      </c>
      <c r="AY286" s="18" t="s">
        <v>144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8" t="s">
        <v>84</v>
      </c>
      <c r="BK286" s="140">
        <f>ROUND(I286*H286,2)</f>
        <v>0</v>
      </c>
      <c r="BL286" s="18" t="s">
        <v>166</v>
      </c>
      <c r="BM286" s="139" t="s">
        <v>514</v>
      </c>
    </row>
    <row r="287" spans="2:47" s="1" customFormat="1" ht="12">
      <c r="B287" s="33"/>
      <c r="D287" s="141" t="s">
        <v>154</v>
      </c>
      <c r="F287" s="142" t="s">
        <v>515</v>
      </c>
      <c r="I287" s="143"/>
      <c r="L287" s="33"/>
      <c r="M287" s="144"/>
      <c r="T287" s="54"/>
      <c r="AT287" s="18" t="s">
        <v>154</v>
      </c>
      <c r="AU287" s="18" t="s">
        <v>86</v>
      </c>
    </row>
    <row r="288" spans="2:51" s="12" customFormat="1" ht="12">
      <c r="B288" s="152"/>
      <c r="D288" s="145" t="s">
        <v>249</v>
      </c>
      <c r="E288" s="153" t="s">
        <v>19</v>
      </c>
      <c r="F288" s="154" t="s">
        <v>516</v>
      </c>
      <c r="H288" s="155">
        <v>164</v>
      </c>
      <c r="I288" s="156"/>
      <c r="L288" s="152"/>
      <c r="M288" s="157"/>
      <c r="T288" s="158"/>
      <c r="AT288" s="153" t="s">
        <v>249</v>
      </c>
      <c r="AU288" s="153" t="s">
        <v>86</v>
      </c>
      <c r="AV288" s="12" t="s">
        <v>86</v>
      </c>
      <c r="AW288" s="12" t="s">
        <v>37</v>
      </c>
      <c r="AX288" s="12" t="s">
        <v>76</v>
      </c>
      <c r="AY288" s="153" t="s">
        <v>144</v>
      </c>
    </row>
    <row r="289" spans="2:51" s="13" customFormat="1" ht="12">
      <c r="B289" s="159"/>
      <c r="D289" s="145" t="s">
        <v>249</v>
      </c>
      <c r="E289" s="160" t="s">
        <v>19</v>
      </c>
      <c r="F289" s="161" t="s">
        <v>251</v>
      </c>
      <c r="H289" s="162">
        <v>164</v>
      </c>
      <c r="I289" s="163"/>
      <c r="L289" s="159"/>
      <c r="M289" s="164"/>
      <c r="T289" s="165"/>
      <c r="AT289" s="160" t="s">
        <v>249</v>
      </c>
      <c r="AU289" s="160" t="s">
        <v>86</v>
      </c>
      <c r="AV289" s="13" t="s">
        <v>166</v>
      </c>
      <c r="AW289" s="13" t="s">
        <v>37</v>
      </c>
      <c r="AX289" s="13" t="s">
        <v>84</v>
      </c>
      <c r="AY289" s="160" t="s">
        <v>144</v>
      </c>
    </row>
    <row r="290" spans="2:65" s="1" customFormat="1" ht="36.6" customHeight="1">
      <c r="B290" s="33"/>
      <c r="C290" s="128" t="s">
        <v>517</v>
      </c>
      <c r="D290" s="128" t="s">
        <v>147</v>
      </c>
      <c r="E290" s="129" t="s">
        <v>518</v>
      </c>
      <c r="F290" s="130" t="s">
        <v>519</v>
      </c>
      <c r="G290" s="131" t="s">
        <v>246</v>
      </c>
      <c r="H290" s="132">
        <v>509</v>
      </c>
      <c r="I290" s="133"/>
      <c r="J290" s="134">
        <f>ROUND(I290*H290,2)</f>
        <v>0</v>
      </c>
      <c r="K290" s="130" t="s">
        <v>441</v>
      </c>
      <c r="L290" s="33"/>
      <c r="M290" s="135" t="s">
        <v>19</v>
      </c>
      <c r="N290" s="136" t="s">
        <v>47</v>
      </c>
      <c r="P290" s="137">
        <f>O290*H290</f>
        <v>0</v>
      </c>
      <c r="Q290" s="137">
        <v>0</v>
      </c>
      <c r="R290" s="137">
        <f>Q290*H290</f>
        <v>0</v>
      </c>
      <c r="S290" s="137">
        <v>0</v>
      </c>
      <c r="T290" s="138">
        <f>S290*H290</f>
        <v>0</v>
      </c>
      <c r="AR290" s="139" t="s">
        <v>166</v>
      </c>
      <c r="AT290" s="139" t="s">
        <v>147</v>
      </c>
      <c r="AU290" s="139" t="s">
        <v>86</v>
      </c>
      <c r="AY290" s="18" t="s">
        <v>144</v>
      </c>
      <c r="BE290" s="140">
        <f>IF(N290="základní",J290,0)</f>
        <v>0</v>
      </c>
      <c r="BF290" s="140">
        <f>IF(N290="snížená",J290,0)</f>
        <v>0</v>
      </c>
      <c r="BG290" s="140">
        <f>IF(N290="zákl. přenesená",J290,0)</f>
        <v>0</v>
      </c>
      <c r="BH290" s="140">
        <f>IF(N290="sníž. přenesená",J290,0)</f>
        <v>0</v>
      </c>
      <c r="BI290" s="140">
        <f>IF(N290="nulová",J290,0)</f>
        <v>0</v>
      </c>
      <c r="BJ290" s="18" t="s">
        <v>84</v>
      </c>
      <c r="BK290" s="140">
        <f>ROUND(I290*H290,2)</f>
        <v>0</v>
      </c>
      <c r="BL290" s="18" t="s">
        <v>166</v>
      </c>
      <c r="BM290" s="139" t="s">
        <v>520</v>
      </c>
    </row>
    <row r="291" spans="2:47" s="1" customFormat="1" ht="12">
      <c r="B291" s="33"/>
      <c r="D291" s="141" t="s">
        <v>154</v>
      </c>
      <c r="F291" s="142" t="s">
        <v>521</v>
      </c>
      <c r="I291" s="143"/>
      <c r="L291" s="33"/>
      <c r="M291" s="144"/>
      <c r="T291" s="54"/>
      <c r="AT291" s="18" t="s">
        <v>154</v>
      </c>
      <c r="AU291" s="18" t="s">
        <v>86</v>
      </c>
    </row>
    <row r="292" spans="2:51" s="12" customFormat="1" ht="12">
      <c r="B292" s="152"/>
      <c r="D292" s="145" t="s">
        <v>249</v>
      </c>
      <c r="E292" s="153" t="s">
        <v>19</v>
      </c>
      <c r="F292" s="154" t="s">
        <v>522</v>
      </c>
      <c r="H292" s="155">
        <v>509</v>
      </c>
      <c r="I292" s="156"/>
      <c r="L292" s="152"/>
      <c r="M292" s="157"/>
      <c r="T292" s="158"/>
      <c r="AT292" s="153" t="s">
        <v>249</v>
      </c>
      <c r="AU292" s="153" t="s">
        <v>86</v>
      </c>
      <c r="AV292" s="12" t="s">
        <v>86</v>
      </c>
      <c r="AW292" s="12" t="s">
        <v>37</v>
      </c>
      <c r="AX292" s="12" t="s">
        <v>76</v>
      </c>
      <c r="AY292" s="153" t="s">
        <v>144</v>
      </c>
    </row>
    <row r="293" spans="2:51" s="13" customFormat="1" ht="12">
      <c r="B293" s="159"/>
      <c r="D293" s="145" t="s">
        <v>249</v>
      </c>
      <c r="E293" s="160" t="s">
        <v>19</v>
      </c>
      <c r="F293" s="161" t="s">
        <v>251</v>
      </c>
      <c r="H293" s="162">
        <v>509</v>
      </c>
      <c r="I293" s="163"/>
      <c r="L293" s="159"/>
      <c r="M293" s="164"/>
      <c r="T293" s="165"/>
      <c r="AT293" s="160" t="s">
        <v>249</v>
      </c>
      <c r="AU293" s="160" t="s">
        <v>86</v>
      </c>
      <c r="AV293" s="13" t="s">
        <v>166</v>
      </c>
      <c r="AW293" s="13" t="s">
        <v>37</v>
      </c>
      <c r="AX293" s="13" t="s">
        <v>84</v>
      </c>
      <c r="AY293" s="160" t="s">
        <v>144</v>
      </c>
    </row>
    <row r="294" spans="2:65" s="1" customFormat="1" ht="23.7" customHeight="1">
      <c r="B294" s="33"/>
      <c r="C294" s="128" t="s">
        <v>523</v>
      </c>
      <c r="D294" s="128" t="s">
        <v>147</v>
      </c>
      <c r="E294" s="129" t="s">
        <v>524</v>
      </c>
      <c r="F294" s="130" t="s">
        <v>525</v>
      </c>
      <c r="G294" s="131" t="s">
        <v>246</v>
      </c>
      <c r="H294" s="132">
        <v>528</v>
      </c>
      <c r="I294" s="133"/>
      <c r="J294" s="134">
        <f>ROUND(I294*H294,2)</f>
        <v>0</v>
      </c>
      <c r="K294" s="130" t="s">
        <v>432</v>
      </c>
      <c r="L294" s="33"/>
      <c r="M294" s="135" t="s">
        <v>19</v>
      </c>
      <c r="N294" s="136" t="s">
        <v>47</v>
      </c>
      <c r="P294" s="137">
        <f>O294*H294</f>
        <v>0</v>
      </c>
      <c r="Q294" s="137">
        <v>0</v>
      </c>
      <c r="R294" s="137">
        <f>Q294*H294</f>
        <v>0</v>
      </c>
      <c r="S294" s="137">
        <v>0</v>
      </c>
      <c r="T294" s="138">
        <f>S294*H294</f>
        <v>0</v>
      </c>
      <c r="AR294" s="139" t="s">
        <v>166</v>
      </c>
      <c r="AT294" s="139" t="s">
        <v>147</v>
      </c>
      <c r="AU294" s="139" t="s">
        <v>86</v>
      </c>
      <c r="AY294" s="18" t="s">
        <v>144</v>
      </c>
      <c r="BE294" s="140">
        <f>IF(N294="základní",J294,0)</f>
        <v>0</v>
      </c>
      <c r="BF294" s="140">
        <f>IF(N294="snížená",J294,0)</f>
        <v>0</v>
      </c>
      <c r="BG294" s="140">
        <f>IF(N294="zákl. přenesená",J294,0)</f>
        <v>0</v>
      </c>
      <c r="BH294" s="140">
        <f>IF(N294="sníž. přenesená",J294,0)</f>
        <v>0</v>
      </c>
      <c r="BI294" s="140">
        <f>IF(N294="nulová",J294,0)</f>
        <v>0</v>
      </c>
      <c r="BJ294" s="18" t="s">
        <v>84</v>
      </c>
      <c r="BK294" s="140">
        <f>ROUND(I294*H294,2)</f>
        <v>0</v>
      </c>
      <c r="BL294" s="18" t="s">
        <v>166</v>
      </c>
      <c r="BM294" s="139" t="s">
        <v>526</v>
      </c>
    </row>
    <row r="295" spans="2:47" s="1" customFormat="1" ht="12">
      <c r="B295" s="33"/>
      <c r="D295" s="141" t="s">
        <v>154</v>
      </c>
      <c r="F295" s="142" t="s">
        <v>527</v>
      </c>
      <c r="I295" s="143"/>
      <c r="L295" s="33"/>
      <c r="M295" s="144"/>
      <c r="T295" s="54"/>
      <c r="AT295" s="18" t="s">
        <v>154</v>
      </c>
      <c r="AU295" s="18" t="s">
        <v>86</v>
      </c>
    </row>
    <row r="296" spans="2:51" s="12" customFormat="1" ht="12">
      <c r="B296" s="152"/>
      <c r="D296" s="145" t="s">
        <v>249</v>
      </c>
      <c r="E296" s="153" t="s">
        <v>19</v>
      </c>
      <c r="F296" s="154" t="s">
        <v>510</v>
      </c>
      <c r="H296" s="155">
        <v>528</v>
      </c>
      <c r="I296" s="156"/>
      <c r="L296" s="152"/>
      <c r="M296" s="157"/>
      <c r="T296" s="158"/>
      <c r="AT296" s="153" t="s">
        <v>249</v>
      </c>
      <c r="AU296" s="153" t="s">
        <v>86</v>
      </c>
      <c r="AV296" s="12" t="s">
        <v>86</v>
      </c>
      <c r="AW296" s="12" t="s">
        <v>37</v>
      </c>
      <c r="AX296" s="12" t="s">
        <v>76</v>
      </c>
      <c r="AY296" s="153" t="s">
        <v>144</v>
      </c>
    </row>
    <row r="297" spans="2:51" s="13" customFormat="1" ht="12">
      <c r="B297" s="159"/>
      <c r="D297" s="145" t="s">
        <v>249</v>
      </c>
      <c r="E297" s="160" t="s">
        <v>19</v>
      </c>
      <c r="F297" s="161" t="s">
        <v>251</v>
      </c>
      <c r="H297" s="162">
        <v>528</v>
      </c>
      <c r="I297" s="163"/>
      <c r="L297" s="159"/>
      <c r="M297" s="164"/>
      <c r="T297" s="165"/>
      <c r="AT297" s="160" t="s">
        <v>249</v>
      </c>
      <c r="AU297" s="160" t="s">
        <v>86</v>
      </c>
      <c r="AV297" s="13" t="s">
        <v>166</v>
      </c>
      <c r="AW297" s="13" t="s">
        <v>37</v>
      </c>
      <c r="AX297" s="13" t="s">
        <v>84</v>
      </c>
      <c r="AY297" s="160" t="s">
        <v>144</v>
      </c>
    </row>
    <row r="298" spans="2:65" s="1" customFormat="1" ht="23.7" customHeight="1">
      <c r="B298" s="33"/>
      <c r="C298" s="128" t="s">
        <v>528</v>
      </c>
      <c r="D298" s="128" t="s">
        <v>147</v>
      </c>
      <c r="E298" s="129" t="s">
        <v>529</v>
      </c>
      <c r="F298" s="130" t="s">
        <v>530</v>
      </c>
      <c r="G298" s="131" t="s">
        <v>246</v>
      </c>
      <c r="H298" s="132">
        <v>579</v>
      </c>
      <c r="I298" s="133"/>
      <c r="J298" s="134">
        <f>ROUND(I298*H298,2)</f>
        <v>0</v>
      </c>
      <c r="K298" s="130" t="s">
        <v>432</v>
      </c>
      <c r="L298" s="33"/>
      <c r="M298" s="135" t="s">
        <v>19</v>
      </c>
      <c r="N298" s="136" t="s">
        <v>47</v>
      </c>
      <c r="P298" s="137">
        <f>O298*H298</f>
        <v>0</v>
      </c>
      <c r="Q298" s="137">
        <v>0</v>
      </c>
      <c r="R298" s="137">
        <f>Q298*H298</f>
        <v>0</v>
      </c>
      <c r="S298" s="137">
        <v>0</v>
      </c>
      <c r="T298" s="138">
        <f>S298*H298</f>
        <v>0</v>
      </c>
      <c r="AR298" s="139" t="s">
        <v>166</v>
      </c>
      <c r="AT298" s="139" t="s">
        <v>147</v>
      </c>
      <c r="AU298" s="139" t="s">
        <v>86</v>
      </c>
      <c r="AY298" s="18" t="s">
        <v>144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8" t="s">
        <v>84</v>
      </c>
      <c r="BK298" s="140">
        <f>ROUND(I298*H298,2)</f>
        <v>0</v>
      </c>
      <c r="BL298" s="18" t="s">
        <v>166</v>
      </c>
      <c r="BM298" s="139" t="s">
        <v>531</v>
      </c>
    </row>
    <row r="299" spans="2:47" s="1" customFormat="1" ht="12">
      <c r="B299" s="33"/>
      <c r="D299" s="141" t="s">
        <v>154</v>
      </c>
      <c r="F299" s="142" t="s">
        <v>532</v>
      </c>
      <c r="I299" s="143"/>
      <c r="L299" s="33"/>
      <c r="M299" s="144"/>
      <c r="T299" s="54"/>
      <c r="AT299" s="18" t="s">
        <v>154</v>
      </c>
      <c r="AU299" s="18" t="s">
        <v>86</v>
      </c>
    </row>
    <row r="300" spans="2:51" s="12" customFormat="1" ht="12">
      <c r="B300" s="152"/>
      <c r="D300" s="145" t="s">
        <v>249</v>
      </c>
      <c r="E300" s="153" t="s">
        <v>19</v>
      </c>
      <c r="F300" s="154" t="s">
        <v>533</v>
      </c>
      <c r="H300" s="155">
        <v>579</v>
      </c>
      <c r="I300" s="156"/>
      <c r="L300" s="152"/>
      <c r="M300" s="157"/>
      <c r="T300" s="158"/>
      <c r="AT300" s="153" t="s">
        <v>249</v>
      </c>
      <c r="AU300" s="153" t="s">
        <v>86</v>
      </c>
      <c r="AV300" s="12" t="s">
        <v>86</v>
      </c>
      <c r="AW300" s="12" t="s">
        <v>37</v>
      </c>
      <c r="AX300" s="12" t="s">
        <v>76</v>
      </c>
      <c r="AY300" s="153" t="s">
        <v>144</v>
      </c>
    </row>
    <row r="301" spans="2:51" s="13" customFormat="1" ht="12">
      <c r="B301" s="159"/>
      <c r="D301" s="145" t="s">
        <v>249</v>
      </c>
      <c r="E301" s="160" t="s">
        <v>19</v>
      </c>
      <c r="F301" s="161" t="s">
        <v>251</v>
      </c>
      <c r="H301" s="162">
        <v>579</v>
      </c>
      <c r="I301" s="163"/>
      <c r="L301" s="159"/>
      <c r="M301" s="164"/>
      <c r="T301" s="165"/>
      <c r="AT301" s="160" t="s">
        <v>249</v>
      </c>
      <c r="AU301" s="160" t="s">
        <v>86</v>
      </c>
      <c r="AV301" s="13" t="s">
        <v>166</v>
      </c>
      <c r="AW301" s="13" t="s">
        <v>37</v>
      </c>
      <c r="AX301" s="13" t="s">
        <v>84</v>
      </c>
      <c r="AY301" s="160" t="s">
        <v>144</v>
      </c>
    </row>
    <row r="302" spans="2:65" s="1" customFormat="1" ht="42.6" customHeight="1">
      <c r="B302" s="33"/>
      <c r="C302" s="128" t="s">
        <v>534</v>
      </c>
      <c r="D302" s="128" t="s">
        <v>147</v>
      </c>
      <c r="E302" s="129" t="s">
        <v>535</v>
      </c>
      <c r="F302" s="130" t="s">
        <v>536</v>
      </c>
      <c r="G302" s="131" t="s">
        <v>246</v>
      </c>
      <c r="H302" s="132">
        <v>579</v>
      </c>
      <c r="I302" s="133"/>
      <c r="J302" s="134">
        <f>ROUND(I302*H302,2)</f>
        <v>0</v>
      </c>
      <c r="K302" s="130" t="s">
        <v>441</v>
      </c>
      <c r="L302" s="33"/>
      <c r="M302" s="135" t="s">
        <v>19</v>
      </c>
      <c r="N302" s="136" t="s">
        <v>47</v>
      </c>
      <c r="P302" s="137">
        <f>O302*H302</f>
        <v>0</v>
      </c>
      <c r="Q302" s="137">
        <v>0</v>
      </c>
      <c r="R302" s="137">
        <f>Q302*H302</f>
        <v>0</v>
      </c>
      <c r="S302" s="137">
        <v>0</v>
      </c>
      <c r="T302" s="138">
        <f>S302*H302</f>
        <v>0</v>
      </c>
      <c r="AR302" s="139" t="s">
        <v>166</v>
      </c>
      <c r="AT302" s="139" t="s">
        <v>147</v>
      </c>
      <c r="AU302" s="139" t="s">
        <v>86</v>
      </c>
      <c r="AY302" s="18" t="s">
        <v>144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8" t="s">
        <v>84</v>
      </c>
      <c r="BK302" s="140">
        <f>ROUND(I302*H302,2)</f>
        <v>0</v>
      </c>
      <c r="BL302" s="18" t="s">
        <v>166</v>
      </c>
      <c r="BM302" s="139" t="s">
        <v>537</v>
      </c>
    </row>
    <row r="303" spans="2:47" s="1" customFormat="1" ht="12">
      <c r="B303" s="33"/>
      <c r="D303" s="141" t="s">
        <v>154</v>
      </c>
      <c r="F303" s="142" t="s">
        <v>538</v>
      </c>
      <c r="I303" s="143"/>
      <c r="L303" s="33"/>
      <c r="M303" s="144"/>
      <c r="T303" s="54"/>
      <c r="AT303" s="18" t="s">
        <v>154</v>
      </c>
      <c r="AU303" s="18" t="s">
        <v>86</v>
      </c>
    </row>
    <row r="304" spans="2:47" s="1" customFormat="1" ht="19.2">
      <c r="B304" s="33"/>
      <c r="D304" s="145" t="s">
        <v>156</v>
      </c>
      <c r="F304" s="146" t="s">
        <v>539</v>
      </c>
      <c r="I304" s="143"/>
      <c r="L304" s="33"/>
      <c r="M304" s="144"/>
      <c r="T304" s="54"/>
      <c r="AT304" s="18" t="s">
        <v>156</v>
      </c>
      <c r="AU304" s="18" t="s">
        <v>86</v>
      </c>
    </row>
    <row r="305" spans="2:51" s="12" customFormat="1" ht="12">
      <c r="B305" s="152"/>
      <c r="D305" s="145" t="s">
        <v>249</v>
      </c>
      <c r="E305" s="153" t="s">
        <v>19</v>
      </c>
      <c r="F305" s="154" t="s">
        <v>533</v>
      </c>
      <c r="H305" s="155">
        <v>579</v>
      </c>
      <c r="I305" s="156"/>
      <c r="L305" s="152"/>
      <c r="M305" s="157"/>
      <c r="T305" s="158"/>
      <c r="AT305" s="153" t="s">
        <v>249</v>
      </c>
      <c r="AU305" s="153" t="s">
        <v>86</v>
      </c>
      <c r="AV305" s="12" t="s">
        <v>86</v>
      </c>
      <c r="AW305" s="12" t="s">
        <v>37</v>
      </c>
      <c r="AX305" s="12" t="s">
        <v>76</v>
      </c>
      <c r="AY305" s="153" t="s">
        <v>144</v>
      </c>
    </row>
    <row r="306" spans="2:51" s="13" customFormat="1" ht="12">
      <c r="B306" s="159"/>
      <c r="D306" s="145" t="s">
        <v>249</v>
      </c>
      <c r="E306" s="160" t="s">
        <v>19</v>
      </c>
      <c r="F306" s="161" t="s">
        <v>251</v>
      </c>
      <c r="H306" s="162">
        <v>579</v>
      </c>
      <c r="I306" s="163"/>
      <c r="L306" s="159"/>
      <c r="M306" s="164"/>
      <c r="T306" s="165"/>
      <c r="AT306" s="160" t="s">
        <v>249</v>
      </c>
      <c r="AU306" s="160" t="s">
        <v>86</v>
      </c>
      <c r="AV306" s="13" t="s">
        <v>166</v>
      </c>
      <c r="AW306" s="13" t="s">
        <v>37</v>
      </c>
      <c r="AX306" s="13" t="s">
        <v>84</v>
      </c>
      <c r="AY306" s="160" t="s">
        <v>144</v>
      </c>
    </row>
    <row r="307" spans="2:65" s="1" customFormat="1" ht="63.9" customHeight="1">
      <c r="B307" s="33"/>
      <c r="C307" s="128" t="s">
        <v>540</v>
      </c>
      <c r="D307" s="128" t="s">
        <v>147</v>
      </c>
      <c r="E307" s="129" t="s">
        <v>541</v>
      </c>
      <c r="F307" s="130" t="s">
        <v>542</v>
      </c>
      <c r="G307" s="131" t="s">
        <v>246</v>
      </c>
      <c r="H307" s="132">
        <v>1096</v>
      </c>
      <c r="I307" s="133"/>
      <c r="J307" s="134">
        <f>ROUND(I307*H307,2)</f>
        <v>0</v>
      </c>
      <c r="K307" s="130" t="s">
        <v>19</v>
      </c>
      <c r="L307" s="33"/>
      <c r="M307" s="135" t="s">
        <v>19</v>
      </c>
      <c r="N307" s="136" t="s">
        <v>47</v>
      </c>
      <c r="P307" s="137">
        <f>O307*H307</f>
        <v>0</v>
      </c>
      <c r="Q307" s="137">
        <v>0</v>
      </c>
      <c r="R307" s="137">
        <f>Q307*H307</f>
        <v>0</v>
      </c>
      <c r="S307" s="137">
        <v>0</v>
      </c>
      <c r="T307" s="138">
        <f>S307*H307</f>
        <v>0</v>
      </c>
      <c r="AR307" s="139" t="s">
        <v>166</v>
      </c>
      <c r="AT307" s="139" t="s">
        <v>147</v>
      </c>
      <c r="AU307" s="139" t="s">
        <v>86</v>
      </c>
      <c r="AY307" s="18" t="s">
        <v>144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8" t="s">
        <v>84</v>
      </c>
      <c r="BK307" s="140">
        <f>ROUND(I307*H307,2)</f>
        <v>0</v>
      </c>
      <c r="BL307" s="18" t="s">
        <v>166</v>
      </c>
      <c r="BM307" s="139" t="s">
        <v>543</v>
      </c>
    </row>
    <row r="308" spans="2:51" s="12" customFormat="1" ht="12">
      <c r="B308" s="152"/>
      <c r="D308" s="145" t="s">
        <v>249</v>
      </c>
      <c r="E308" s="153" t="s">
        <v>19</v>
      </c>
      <c r="F308" s="154" t="s">
        <v>544</v>
      </c>
      <c r="H308" s="155">
        <v>435</v>
      </c>
      <c r="I308" s="156"/>
      <c r="L308" s="152"/>
      <c r="M308" s="157"/>
      <c r="T308" s="158"/>
      <c r="AT308" s="153" t="s">
        <v>249</v>
      </c>
      <c r="AU308" s="153" t="s">
        <v>86</v>
      </c>
      <c r="AV308" s="12" t="s">
        <v>86</v>
      </c>
      <c r="AW308" s="12" t="s">
        <v>37</v>
      </c>
      <c r="AX308" s="12" t="s">
        <v>76</v>
      </c>
      <c r="AY308" s="153" t="s">
        <v>144</v>
      </c>
    </row>
    <row r="309" spans="2:51" s="12" customFormat="1" ht="12">
      <c r="B309" s="152"/>
      <c r="D309" s="145" t="s">
        <v>249</v>
      </c>
      <c r="E309" s="153" t="s">
        <v>19</v>
      </c>
      <c r="F309" s="154" t="s">
        <v>480</v>
      </c>
      <c r="H309" s="155">
        <v>661</v>
      </c>
      <c r="I309" s="156"/>
      <c r="L309" s="152"/>
      <c r="M309" s="157"/>
      <c r="T309" s="158"/>
      <c r="AT309" s="153" t="s">
        <v>249</v>
      </c>
      <c r="AU309" s="153" t="s">
        <v>86</v>
      </c>
      <c r="AV309" s="12" t="s">
        <v>86</v>
      </c>
      <c r="AW309" s="12" t="s">
        <v>37</v>
      </c>
      <c r="AX309" s="12" t="s">
        <v>76</v>
      </c>
      <c r="AY309" s="153" t="s">
        <v>144</v>
      </c>
    </row>
    <row r="310" spans="2:51" s="13" customFormat="1" ht="12">
      <c r="B310" s="159"/>
      <c r="D310" s="145" t="s">
        <v>249</v>
      </c>
      <c r="E310" s="160" t="s">
        <v>19</v>
      </c>
      <c r="F310" s="161" t="s">
        <v>251</v>
      </c>
      <c r="H310" s="162">
        <v>1096</v>
      </c>
      <c r="I310" s="163"/>
      <c r="L310" s="159"/>
      <c r="M310" s="164"/>
      <c r="T310" s="165"/>
      <c r="AT310" s="160" t="s">
        <v>249</v>
      </c>
      <c r="AU310" s="160" t="s">
        <v>86</v>
      </c>
      <c r="AV310" s="13" t="s">
        <v>166</v>
      </c>
      <c r="AW310" s="13" t="s">
        <v>37</v>
      </c>
      <c r="AX310" s="13" t="s">
        <v>84</v>
      </c>
      <c r="AY310" s="160" t="s">
        <v>144</v>
      </c>
    </row>
    <row r="311" spans="2:65" s="1" customFormat="1" ht="60.45" customHeight="1">
      <c r="B311" s="33"/>
      <c r="C311" s="172" t="s">
        <v>545</v>
      </c>
      <c r="D311" s="172" t="s">
        <v>410</v>
      </c>
      <c r="E311" s="173" t="s">
        <v>546</v>
      </c>
      <c r="F311" s="174" t="s">
        <v>547</v>
      </c>
      <c r="G311" s="175" t="s">
        <v>246</v>
      </c>
      <c r="H311" s="176">
        <v>1106.96</v>
      </c>
      <c r="I311" s="177"/>
      <c r="J311" s="178">
        <f>ROUND(I311*H311,2)</f>
        <v>0</v>
      </c>
      <c r="K311" s="174" t="s">
        <v>19</v>
      </c>
      <c r="L311" s="179"/>
      <c r="M311" s="180" t="s">
        <v>19</v>
      </c>
      <c r="N311" s="181" t="s">
        <v>47</v>
      </c>
      <c r="P311" s="137">
        <f>O311*H311</f>
        <v>0</v>
      </c>
      <c r="Q311" s="137">
        <v>0.0126</v>
      </c>
      <c r="R311" s="137">
        <f>Q311*H311</f>
        <v>13.947696</v>
      </c>
      <c r="S311" s="137">
        <v>0</v>
      </c>
      <c r="T311" s="138">
        <f>S311*H311</f>
        <v>0</v>
      </c>
      <c r="AR311" s="139" t="s">
        <v>189</v>
      </c>
      <c r="AT311" s="139" t="s">
        <v>410</v>
      </c>
      <c r="AU311" s="139" t="s">
        <v>86</v>
      </c>
      <c r="AY311" s="18" t="s">
        <v>144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8" t="s">
        <v>84</v>
      </c>
      <c r="BK311" s="140">
        <f>ROUND(I311*H311,2)</f>
        <v>0</v>
      </c>
      <c r="BL311" s="18" t="s">
        <v>166</v>
      </c>
      <c r="BM311" s="139" t="s">
        <v>548</v>
      </c>
    </row>
    <row r="312" spans="2:51" s="12" customFormat="1" ht="12">
      <c r="B312" s="152"/>
      <c r="D312" s="145" t="s">
        <v>249</v>
      </c>
      <c r="E312" s="153" t="s">
        <v>19</v>
      </c>
      <c r="F312" s="154" t="s">
        <v>480</v>
      </c>
      <c r="H312" s="155">
        <v>661</v>
      </c>
      <c r="I312" s="156"/>
      <c r="L312" s="152"/>
      <c r="M312" s="157"/>
      <c r="T312" s="158"/>
      <c r="AT312" s="153" t="s">
        <v>249</v>
      </c>
      <c r="AU312" s="153" t="s">
        <v>86</v>
      </c>
      <c r="AV312" s="12" t="s">
        <v>86</v>
      </c>
      <c r="AW312" s="12" t="s">
        <v>37</v>
      </c>
      <c r="AX312" s="12" t="s">
        <v>76</v>
      </c>
      <c r="AY312" s="153" t="s">
        <v>144</v>
      </c>
    </row>
    <row r="313" spans="2:51" s="12" customFormat="1" ht="12">
      <c r="B313" s="152"/>
      <c r="D313" s="145" t="s">
        <v>249</v>
      </c>
      <c r="E313" s="153" t="s">
        <v>19</v>
      </c>
      <c r="F313" s="154" t="s">
        <v>544</v>
      </c>
      <c r="H313" s="155">
        <v>435</v>
      </c>
      <c r="I313" s="156"/>
      <c r="L313" s="152"/>
      <c r="M313" s="157"/>
      <c r="T313" s="158"/>
      <c r="AT313" s="153" t="s">
        <v>249</v>
      </c>
      <c r="AU313" s="153" t="s">
        <v>86</v>
      </c>
      <c r="AV313" s="12" t="s">
        <v>86</v>
      </c>
      <c r="AW313" s="12" t="s">
        <v>37</v>
      </c>
      <c r="AX313" s="12" t="s">
        <v>76</v>
      </c>
      <c r="AY313" s="153" t="s">
        <v>144</v>
      </c>
    </row>
    <row r="314" spans="2:51" s="13" customFormat="1" ht="12">
      <c r="B314" s="159"/>
      <c r="D314" s="145" t="s">
        <v>249</v>
      </c>
      <c r="E314" s="160" t="s">
        <v>19</v>
      </c>
      <c r="F314" s="161" t="s">
        <v>251</v>
      </c>
      <c r="H314" s="162">
        <v>1096</v>
      </c>
      <c r="I314" s="163"/>
      <c r="L314" s="159"/>
      <c r="M314" s="164"/>
      <c r="T314" s="165"/>
      <c r="AT314" s="160" t="s">
        <v>249</v>
      </c>
      <c r="AU314" s="160" t="s">
        <v>86</v>
      </c>
      <c r="AV314" s="13" t="s">
        <v>166</v>
      </c>
      <c r="AW314" s="13" t="s">
        <v>37</v>
      </c>
      <c r="AX314" s="13" t="s">
        <v>84</v>
      </c>
      <c r="AY314" s="160" t="s">
        <v>144</v>
      </c>
    </row>
    <row r="315" spans="2:51" s="12" customFormat="1" ht="12">
      <c r="B315" s="152"/>
      <c r="D315" s="145" t="s">
        <v>249</v>
      </c>
      <c r="F315" s="154" t="s">
        <v>549</v>
      </c>
      <c r="H315" s="155">
        <v>1106.96</v>
      </c>
      <c r="I315" s="156"/>
      <c r="L315" s="152"/>
      <c r="M315" s="157"/>
      <c r="T315" s="158"/>
      <c r="AT315" s="153" t="s">
        <v>249</v>
      </c>
      <c r="AU315" s="153" t="s">
        <v>86</v>
      </c>
      <c r="AV315" s="12" t="s">
        <v>86</v>
      </c>
      <c r="AW315" s="12" t="s">
        <v>4</v>
      </c>
      <c r="AX315" s="12" t="s">
        <v>84</v>
      </c>
      <c r="AY315" s="153" t="s">
        <v>144</v>
      </c>
    </row>
    <row r="316" spans="2:65" s="1" customFormat="1" ht="15" customHeight="1">
      <c r="B316" s="33"/>
      <c r="C316" s="172" t="s">
        <v>550</v>
      </c>
      <c r="D316" s="172" t="s">
        <v>410</v>
      </c>
      <c r="E316" s="173" t="s">
        <v>551</v>
      </c>
      <c r="F316" s="174" t="s">
        <v>552</v>
      </c>
      <c r="G316" s="175" t="s">
        <v>413</v>
      </c>
      <c r="H316" s="176">
        <v>35.785</v>
      </c>
      <c r="I316" s="177"/>
      <c r="J316" s="178">
        <f>ROUND(I316*H316,2)</f>
        <v>0</v>
      </c>
      <c r="K316" s="174" t="s">
        <v>441</v>
      </c>
      <c r="L316" s="179"/>
      <c r="M316" s="180" t="s">
        <v>19</v>
      </c>
      <c r="N316" s="181" t="s">
        <v>47</v>
      </c>
      <c r="P316" s="137">
        <f>O316*H316</f>
        <v>0</v>
      </c>
      <c r="Q316" s="137">
        <v>1</v>
      </c>
      <c r="R316" s="137">
        <f>Q316*H316</f>
        <v>35.785</v>
      </c>
      <c r="S316" s="137">
        <v>0</v>
      </c>
      <c r="T316" s="138">
        <f>S316*H316</f>
        <v>0</v>
      </c>
      <c r="AR316" s="139" t="s">
        <v>189</v>
      </c>
      <c r="AT316" s="139" t="s">
        <v>410</v>
      </c>
      <c r="AU316" s="139" t="s">
        <v>86</v>
      </c>
      <c r="AY316" s="18" t="s">
        <v>144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8" t="s">
        <v>84</v>
      </c>
      <c r="BK316" s="140">
        <f>ROUND(I316*H316,2)</f>
        <v>0</v>
      </c>
      <c r="BL316" s="18" t="s">
        <v>166</v>
      </c>
      <c r="BM316" s="139" t="s">
        <v>553</v>
      </c>
    </row>
    <row r="317" spans="2:65" s="1" customFormat="1" ht="23.7" customHeight="1">
      <c r="B317" s="33"/>
      <c r="C317" s="172" t="s">
        <v>554</v>
      </c>
      <c r="D317" s="172" t="s">
        <v>410</v>
      </c>
      <c r="E317" s="173" t="s">
        <v>555</v>
      </c>
      <c r="F317" s="174" t="s">
        <v>556</v>
      </c>
      <c r="G317" s="175" t="s">
        <v>246</v>
      </c>
      <c r="H317" s="176">
        <v>401</v>
      </c>
      <c r="I317" s="177"/>
      <c r="J317" s="178">
        <f>ROUND(I317*H317,2)</f>
        <v>0</v>
      </c>
      <c r="K317" s="174" t="s">
        <v>151</v>
      </c>
      <c r="L317" s="179"/>
      <c r="M317" s="180" t="s">
        <v>19</v>
      </c>
      <c r="N317" s="181" t="s">
        <v>47</v>
      </c>
      <c r="P317" s="137">
        <f>O317*H317</f>
        <v>0</v>
      </c>
      <c r="Q317" s="137">
        <v>1</v>
      </c>
      <c r="R317" s="137">
        <f>Q317*H317</f>
        <v>401</v>
      </c>
      <c r="S317" s="137">
        <v>0</v>
      </c>
      <c r="T317" s="138">
        <f>S317*H317</f>
        <v>0</v>
      </c>
      <c r="AR317" s="139" t="s">
        <v>189</v>
      </c>
      <c r="AT317" s="139" t="s">
        <v>410</v>
      </c>
      <c r="AU317" s="139" t="s">
        <v>86</v>
      </c>
      <c r="AY317" s="18" t="s">
        <v>144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8" t="s">
        <v>84</v>
      </c>
      <c r="BK317" s="140">
        <f>ROUND(I317*H317,2)</f>
        <v>0</v>
      </c>
      <c r="BL317" s="18" t="s">
        <v>166</v>
      </c>
      <c r="BM317" s="139" t="s">
        <v>557</v>
      </c>
    </row>
    <row r="318" spans="2:47" s="1" customFormat="1" ht="57.6">
      <c r="B318" s="33"/>
      <c r="D318" s="145" t="s">
        <v>156</v>
      </c>
      <c r="F318" s="146" t="s">
        <v>558</v>
      </c>
      <c r="I318" s="143"/>
      <c r="L318" s="33"/>
      <c r="M318" s="144"/>
      <c r="T318" s="54"/>
      <c r="AT318" s="18" t="s">
        <v>156</v>
      </c>
      <c r="AU318" s="18" t="s">
        <v>86</v>
      </c>
    </row>
    <row r="319" spans="2:51" s="12" customFormat="1" ht="12">
      <c r="B319" s="152"/>
      <c r="D319" s="145" t="s">
        <v>249</v>
      </c>
      <c r="E319" s="153" t="s">
        <v>19</v>
      </c>
      <c r="F319" s="154" t="s">
        <v>559</v>
      </c>
      <c r="H319" s="155">
        <v>401</v>
      </c>
      <c r="I319" s="156"/>
      <c r="L319" s="152"/>
      <c r="M319" s="157"/>
      <c r="T319" s="158"/>
      <c r="AT319" s="153" t="s">
        <v>249</v>
      </c>
      <c r="AU319" s="153" t="s">
        <v>86</v>
      </c>
      <c r="AV319" s="12" t="s">
        <v>86</v>
      </c>
      <c r="AW319" s="12" t="s">
        <v>37</v>
      </c>
      <c r="AX319" s="12" t="s">
        <v>76</v>
      </c>
      <c r="AY319" s="153" t="s">
        <v>144</v>
      </c>
    </row>
    <row r="320" spans="2:51" s="13" customFormat="1" ht="12">
      <c r="B320" s="159"/>
      <c r="D320" s="145" t="s">
        <v>249</v>
      </c>
      <c r="E320" s="160" t="s">
        <v>19</v>
      </c>
      <c r="F320" s="161" t="s">
        <v>251</v>
      </c>
      <c r="H320" s="162">
        <v>401</v>
      </c>
      <c r="I320" s="163"/>
      <c r="L320" s="159"/>
      <c r="M320" s="164"/>
      <c r="T320" s="165"/>
      <c r="AT320" s="160" t="s">
        <v>249</v>
      </c>
      <c r="AU320" s="160" t="s">
        <v>86</v>
      </c>
      <c r="AV320" s="13" t="s">
        <v>166</v>
      </c>
      <c r="AW320" s="13" t="s">
        <v>37</v>
      </c>
      <c r="AX320" s="13" t="s">
        <v>84</v>
      </c>
      <c r="AY320" s="160" t="s">
        <v>144</v>
      </c>
    </row>
    <row r="321" spans="2:65" s="1" customFormat="1" ht="36.6" customHeight="1">
      <c r="B321" s="33"/>
      <c r="C321" s="128" t="s">
        <v>560</v>
      </c>
      <c r="D321" s="128" t="s">
        <v>147</v>
      </c>
      <c r="E321" s="129" t="s">
        <v>561</v>
      </c>
      <c r="F321" s="130" t="s">
        <v>562</v>
      </c>
      <c r="G321" s="131" t="s">
        <v>246</v>
      </c>
      <c r="H321" s="132">
        <v>697</v>
      </c>
      <c r="I321" s="133"/>
      <c r="J321" s="134">
        <f>ROUND(I321*H321,2)</f>
        <v>0</v>
      </c>
      <c r="K321" s="130" t="s">
        <v>19</v>
      </c>
      <c r="L321" s="33"/>
      <c r="M321" s="135" t="s">
        <v>19</v>
      </c>
      <c r="N321" s="136" t="s">
        <v>47</v>
      </c>
      <c r="P321" s="137">
        <f>O321*H321</f>
        <v>0</v>
      </c>
      <c r="Q321" s="137">
        <v>0</v>
      </c>
      <c r="R321" s="137">
        <f>Q321*H321</f>
        <v>0</v>
      </c>
      <c r="S321" s="137">
        <v>0</v>
      </c>
      <c r="T321" s="138">
        <f>S321*H321</f>
        <v>0</v>
      </c>
      <c r="AR321" s="139" t="s">
        <v>166</v>
      </c>
      <c r="AT321" s="139" t="s">
        <v>147</v>
      </c>
      <c r="AU321" s="139" t="s">
        <v>86</v>
      </c>
      <c r="AY321" s="18" t="s">
        <v>144</v>
      </c>
      <c r="BE321" s="140">
        <f>IF(N321="základní",J321,0)</f>
        <v>0</v>
      </c>
      <c r="BF321" s="140">
        <f>IF(N321="snížená",J321,0)</f>
        <v>0</v>
      </c>
      <c r="BG321" s="140">
        <f>IF(N321="zákl. přenesená",J321,0)</f>
        <v>0</v>
      </c>
      <c r="BH321" s="140">
        <f>IF(N321="sníž. přenesená",J321,0)</f>
        <v>0</v>
      </c>
      <c r="BI321" s="140">
        <f>IF(N321="nulová",J321,0)</f>
        <v>0</v>
      </c>
      <c r="BJ321" s="18" t="s">
        <v>84</v>
      </c>
      <c r="BK321" s="140">
        <f>ROUND(I321*H321,2)</f>
        <v>0</v>
      </c>
      <c r="BL321" s="18" t="s">
        <v>166</v>
      </c>
      <c r="BM321" s="139" t="s">
        <v>563</v>
      </c>
    </row>
    <row r="322" spans="2:65" s="1" customFormat="1" ht="36.6" customHeight="1">
      <c r="B322" s="33"/>
      <c r="C322" s="172" t="s">
        <v>564</v>
      </c>
      <c r="D322" s="172" t="s">
        <v>410</v>
      </c>
      <c r="E322" s="173" t="s">
        <v>565</v>
      </c>
      <c r="F322" s="174" t="s">
        <v>566</v>
      </c>
      <c r="G322" s="175" t="s">
        <v>246</v>
      </c>
      <c r="H322" s="176">
        <v>703.97</v>
      </c>
      <c r="I322" s="177"/>
      <c r="J322" s="178">
        <f>ROUND(I322*H322,2)</f>
        <v>0</v>
      </c>
      <c r="K322" s="174" t="s">
        <v>19</v>
      </c>
      <c r="L322" s="179"/>
      <c r="M322" s="180" t="s">
        <v>19</v>
      </c>
      <c r="N322" s="181" t="s">
        <v>47</v>
      </c>
      <c r="P322" s="137">
        <f>O322*H322</f>
        <v>0</v>
      </c>
      <c r="Q322" s="137">
        <v>0.12</v>
      </c>
      <c r="R322" s="137">
        <f>Q322*H322</f>
        <v>84.4764</v>
      </c>
      <c r="S322" s="137">
        <v>0</v>
      </c>
      <c r="T322" s="138">
        <f>S322*H322</f>
        <v>0</v>
      </c>
      <c r="AR322" s="139" t="s">
        <v>189</v>
      </c>
      <c r="AT322" s="139" t="s">
        <v>410</v>
      </c>
      <c r="AU322" s="139" t="s">
        <v>86</v>
      </c>
      <c r="AY322" s="18" t="s">
        <v>144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8" t="s">
        <v>84</v>
      </c>
      <c r="BK322" s="140">
        <f>ROUND(I322*H322,2)</f>
        <v>0</v>
      </c>
      <c r="BL322" s="18" t="s">
        <v>166</v>
      </c>
      <c r="BM322" s="139" t="s">
        <v>567</v>
      </c>
    </row>
    <row r="323" spans="2:51" s="14" customFormat="1" ht="12">
      <c r="B323" s="166"/>
      <c r="D323" s="145" t="s">
        <v>249</v>
      </c>
      <c r="E323" s="167" t="s">
        <v>19</v>
      </c>
      <c r="F323" s="168" t="s">
        <v>568</v>
      </c>
      <c r="H323" s="167" t="s">
        <v>19</v>
      </c>
      <c r="I323" s="169"/>
      <c r="L323" s="166"/>
      <c r="M323" s="170"/>
      <c r="T323" s="171"/>
      <c r="AT323" s="167" t="s">
        <v>249</v>
      </c>
      <c r="AU323" s="167" t="s">
        <v>86</v>
      </c>
      <c r="AV323" s="14" t="s">
        <v>84</v>
      </c>
      <c r="AW323" s="14" t="s">
        <v>37</v>
      </c>
      <c r="AX323" s="14" t="s">
        <v>76</v>
      </c>
      <c r="AY323" s="167" t="s">
        <v>144</v>
      </c>
    </row>
    <row r="324" spans="2:51" s="12" customFormat="1" ht="12">
      <c r="B324" s="152"/>
      <c r="D324" s="145" t="s">
        <v>249</v>
      </c>
      <c r="E324" s="153" t="s">
        <v>19</v>
      </c>
      <c r="F324" s="154" t="s">
        <v>569</v>
      </c>
      <c r="H324" s="155">
        <v>435</v>
      </c>
      <c r="I324" s="156"/>
      <c r="L324" s="152"/>
      <c r="M324" s="157"/>
      <c r="T324" s="158"/>
      <c r="AT324" s="153" t="s">
        <v>249</v>
      </c>
      <c r="AU324" s="153" t="s">
        <v>86</v>
      </c>
      <c r="AV324" s="12" t="s">
        <v>86</v>
      </c>
      <c r="AW324" s="12" t="s">
        <v>37</v>
      </c>
      <c r="AX324" s="12" t="s">
        <v>76</v>
      </c>
      <c r="AY324" s="153" t="s">
        <v>144</v>
      </c>
    </row>
    <row r="325" spans="2:51" s="12" customFormat="1" ht="12">
      <c r="B325" s="152"/>
      <c r="D325" s="145" t="s">
        <v>249</v>
      </c>
      <c r="E325" s="153" t="s">
        <v>19</v>
      </c>
      <c r="F325" s="154" t="s">
        <v>570</v>
      </c>
      <c r="H325" s="155">
        <v>209</v>
      </c>
      <c r="I325" s="156"/>
      <c r="L325" s="152"/>
      <c r="M325" s="157"/>
      <c r="T325" s="158"/>
      <c r="AT325" s="153" t="s">
        <v>249</v>
      </c>
      <c r="AU325" s="153" t="s">
        <v>86</v>
      </c>
      <c r="AV325" s="12" t="s">
        <v>86</v>
      </c>
      <c r="AW325" s="12" t="s">
        <v>37</v>
      </c>
      <c r="AX325" s="12" t="s">
        <v>76</v>
      </c>
      <c r="AY325" s="153" t="s">
        <v>144</v>
      </c>
    </row>
    <row r="326" spans="2:51" s="12" customFormat="1" ht="12">
      <c r="B326" s="152"/>
      <c r="D326" s="145" t="s">
        <v>249</v>
      </c>
      <c r="E326" s="153" t="s">
        <v>19</v>
      </c>
      <c r="F326" s="154" t="s">
        <v>571</v>
      </c>
      <c r="H326" s="155">
        <v>53</v>
      </c>
      <c r="I326" s="156"/>
      <c r="L326" s="152"/>
      <c r="M326" s="157"/>
      <c r="T326" s="158"/>
      <c r="AT326" s="153" t="s">
        <v>249</v>
      </c>
      <c r="AU326" s="153" t="s">
        <v>86</v>
      </c>
      <c r="AV326" s="12" t="s">
        <v>86</v>
      </c>
      <c r="AW326" s="12" t="s">
        <v>37</v>
      </c>
      <c r="AX326" s="12" t="s">
        <v>76</v>
      </c>
      <c r="AY326" s="153" t="s">
        <v>144</v>
      </c>
    </row>
    <row r="327" spans="2:51" s="13" customFormat="1" ht="12">
      <c r="B327" s="159"/>
      <c r="D327" s="145" t="s">
        <v>249</v>
      </c>
      <c r="E327" s="160" t="s">
        <v>19</v>
      </c>
      <c r="F327" s="161" t="s">
        <v>251</v>
      </c>
      <c r="H327" s="162">
        <v>697</v>
      </c>
      <c r="I327" s="163"/>
      <c r="L327" s="159"/>
      <c r="M327" s="164"/>
      <c r="T327" s="165"/>
      <c r="AT327" s="160" t="s">
        <v>249</v>
      </c>
      <c r="AU327" s="160" t="s">
        <v>86</v>
      </c>
      <c r="AV327" s="13" t="s">
        <v>166</v>
      </c>
      <c r="AW327" s="13" t="s">
        <v>37</v>
      </c>
      <c r="AX327" s="13" t="s">
        <v>84</v>
      </c>
      <c r="AY327" s="160" t="s">
        <v>144</v>
      </c>
    </row>
    <row r="328" spans="2:51" s="12" customFormat="1" ht="12">
      <c r="B328" s="152"/>
      <c r="D328" s="145" t="s">
        <v>249</v>
      </c>
      <c r="F328" s="154" t="s">
        <v>572</v>
      </c>
      <c r="H328" s="155">
        <v>703.97</v>
      </c>
      <c r="I328" s="156"/>
      <c r="L328" s="152"/>
      <c r="M328" s="157"/>
      <c r="T328" s="158"/>
      <c r="AT328" s="153" t="s">
        <v>249</v>
      </c>
      <c r="AU328" s="153" t="s">
        <v>86</v>
      </c>
      <c r="AV328" s="12" t="s">
        <v>86</v>
      </c>
      <c r="AW328" s="12" t="s">
        <v>4</v>
      </c>
      <c r="AX328" s="12" t="s">
        <v>84</v>
      </c>
      <c r="AY328" s="153" t="s">
        <v>144</v>
      </c>
    </row>
    <row r="329" spans="2:65" s="1" customFormat="1" ht="47.4" customHeight="1">
      <c r="B329" s="33"/>
      <c r="C329" s="128" t="s">
        <v>573</v>
      </c>
      <c r="D329" s="128" t="s">
        <v>147</v>
      </c>
      <c r="E329" s="129" t="s">
        <v>574</v>
      </c>
      <c r="F329" s="130" t="s">
        <v>575</v>
      </c>
      <c r="G329" s="131" t="s">
        <v>246</v>
      </c>
      <c r="H329" s="132">
        <v>3</v>
      </c>
      <c r="I329" s="133"/>
      <c r="J329" s="134">
        <f>ROUND(I329*H329,2)</f>
        <v>0</v>
      </c>
      <c r="K329" s="130" t="s">
        <v>151</v>
      </c>
      <c r="L329" s="33"/>
      <c r="M329" s="135" t="s">
        <v>19</v>
      </c>
      <c r="N329" s="136" t="s">
        <v>47</v>
      </c>
      <c r="P329" s="137">
        <f>O329*H329</f>
        <v>0</v>
      </c>
      <c r="Q329" s="137">
        <v>0.13404</v>
      </c>
      <c r="R329" s="137">
        <f>Q329*H329</f>
        <v>0.40212</v>
      </c>
      <c r="S329" s="137">
        <v>0</v>
      </c>
      <c r="T329" s="138">
        <f>S329*H329</f>
        <v>0</v>
      </c>
      <c r="AR329" s="139" t="s">
        <v>166</v>
      </c>
      <c r="AT329" s="139" t="s">
        <v>147</v>
      </c>
      <c r="AU329" s="139" t="s">
        <v>86</v>
      </c>
      <c r="AY329" s="18" t="s">
        <v>144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8" t="s">
        <v>84</v>
      </c>
      <c r="BK329" s="140">
        <f>ROUND(I329*H329,2)</f>
        <v>0</v>
      </c>
      <c r="BL329" s="18" t="s">
        <v>166</v>
      </c>
      <c r="BM329" s="139" t="s">
        <v>576</v>
      </c>
    </row>
    <row r="330" spans="2:47" s="1" customFormat="1" ht="12">
      <c r="B330" s="33"/>
      <c r="D330" s="141" t="s">
        <v>154</v>
      </c>
      <c r="F330" s="142" t="s">
        <v>577</v>
      </c>
      <c r="I330" s="143"/>
      <c r="L330" s="33"/>
      <c r="M330" s="144"/>
      <c r="T330" s="54"/>
      <c r="AT330" s="18" t="s">
        <v>154</v>
      </c>
      <c r="AU330" s="18" t="s">
        <v>86</v>
      </c>
    </row>
    <row r="331" spans="2:65" s="1" customFormat="1" ht="23.7" customHeight="1">
      <c r="B331" s="33"/>
      <c r="C331" s="172" t="s">
        <v>578</v>
      </c>
      <c r="D331" s="172" t="s">
        <v>410</v>
      </c>
      <c r="E331" s="173" t="s">
        <v>579</v>
      </c>
      <c r="F331" s="174" t="s">
        <v>580</v>
      </c>
      <c r="G331" s="175" t="s">
        <v>413</v>
      </c>
      <c r="H331" s="176">
        <v>1.35</v>
      </c>
      <c r="I331" s="177"/>
      <c r="J331" s="178">
        <f>ROUND(I331*H331,2)</f>
        <v>0</v>
      </c>
      <c r="K331" s="174" t="s">
        <v>151</v>
      </c>
      <c r="L331" s="179"/>
      <c r="M331" s="180" t="s">
        <v>19</v>
      </c>
      <c r="N331" s="181" t="s">
        <v>47</v>
      </c>
      <c r="P331" s="137">
        <f>O331*H331</f>
        <v>0</v>
      </c>
      <c r="Q331" s="137">
        <v>1</v>
      </c>
      <c r="R331" s="137">
        <f>Q331*H331</f>
        <v>1.35</v>
      </c>
      <c r="S331" s="137">
        <v>0</v>
      </c>
      <c r="T331" s="138">
        <f>S331*H331</f>
        <v>0</v>
      </c>
      <c r="AR331" s="139" t="s">
        <v>189</v>
      </c>
      <c r="AT331" s="139" t="s">
        <v>410</v>
      </c>
      <c r="AU331" s="139" t="s">
        <v>86</v>
      </c>
      <c r="AY331" s="18" t="s">
        <v>144</v>
      </c>
      <c r="BE331" s="140">
        <f>IF(N331="základní",J331,0)</f>
        <v>0</v>
      </c>
      <c r="BF331" s="140">
        <f>IF(N331="snížená",J331,0)</f>
        <v>0</v>
      </c>
      <c r="BG331" s="140">
        <f>IF(N331="zákl. přenesená",J331,0)</f>
        <v>0</v>
      </c>
      <c r="BH331" s="140">
        <f>IF(N331="sníž. přenesená",J331,0)</f>
        <v>0</v>
      </c>
      <c r="BI331" s="140">
        <f>IF(N331="nulová",J331,0)</f>
        <v>0</v>
      </c>
      <c r="BJ331" s="18" t="s">
        <v>84</v>
      </c>
      <c r="BK331" s="140">
        <f>ROUND(I331*H331,2)</f>
        <v>0</v>
      </c>
      <c r="BL331" s="18" t="s">
        <v>166</v>
      </c>
      <c r="BM331" s="139" t="s">
        <v>581</v>
      </c>
    </row>
    <row r="332" spans="2:65" s="1" customFormat="1" ht="74.55" customHeight="1">
      <c r="B332" s="33"/>
      <c r="C332" s="128" t="s">
        <v>582</v>
      </c>
      <c r="D332" s="128" t="s">
        <v>147</v>
      </c>
      <c r="E332" s="129" t="s">
        <v>583</v>
      </c>
      <c r="F332" s="130" t="s">
        <v>584</v>
      </c>
      <c r="G332" s="131" t="s">
        <v>246</v>
      </c>
      <c r="H332" s="132">
        <v>164</v>
      </c>
      <c r="I332" s="133"/>
      <c r="J332" s="134">
        <f>ROUND(I332*H332,2)</f>
        <v>0</v>
      </c>
      <c r="K332" s="130" t="s">
        <v>151</v>
      </c>
      <c r="L332" s="33"/>
      <c r="M332" s="135" t="s">
        <v>19</v>
      </c>
      <c r="N332" s="136" t="s">
        <v>47</v>
      </c>
      <c r="P332" s="137">
        <f>O332*H332</f>
        <v>0</v>
      </c>
      <c r="Q332" s="137">
        <v>0.09062</v>
      </c>
      <c r="R332" s="137">
        <f>Q332*H332</f>
        <v>14.861680000000002</v>
      </c>
      <c r="S332" s="137">
        <v>0</v>
      </c>
      <c r="T332" s="138">
        <f>S332*H332</f>
        <v>0</v>
      </c>
      <c r="AR332" s="139" t="s">
        <v>166</v>
      </c>
      <c r="AT332" s="139" t="s">
        <v>147</v>
      </c>
      <c r="AU332" s="139" t="s">
        <v>86</v>
      </c>
      <c r="AY332" s="18" t="s">
        <v>144</v>
      </c>
      <c r="BE332" s="140">
        <f>IF(N332="základní",J332,0)</f>
        <v>0</v>
      </c>
      <c r="BF332" s="140">
        <f>IF(N332="snížená",J332,0)</f>
        <v>0</v>
      </c>
      <c r="BG332" s="140">
        <f>IF(N332="zákl. přenesená",J332,0)</f>
        <v>0</v>
      </c>
      <c r="BH332" s="140">
        <f>IF(N332="sníž. přenesená",J332,0)</f>
        <v>0</v>
      </c>
      <c r="BI332" s="140">
        <f>IF(N332="nulová",J332,0)</f>
        <v>0</v>
      </c>
      <c r="BJ332" s="18" t="s">
        <v>84</v>
      </c>
      <c r="BK332" s="140">
        <f>ROUND(I332*H332,2)</f>
        <v>0</v>
      </c>
      <c r="BL332" s="18" t="s">
        <v>166</v>
      </c>
      <c r="BM332" s="139" t="s">
        <v>585</v>
      </c>
    </row>
    <row r="333" spans="2:47" s="1" customFormat="1" ht="12">
      <c r="B333" s="33"/>
      <c r="D333" s="141" t="s">
        <v>154</v>
      </c>
      <c r="F333" s="142" t="s">
        <v>586</v>
      </c>
      <c r="I333" s="143"/>
      <c r="L333" s="33"/>
      <c r="M333" s="144"/>
      <c r="T333" s="54"/>
      <c r="AT333" s="18" t="s">
        <v>154</v>
      </c>
      <c r="AU333" s="18" t="s">
        <v>86</v>
      </c>
    </row>
    <row r="334" spans="2:51" s="14" customFormat="1" ht="12">
      <c r="B334" s="166"/>
      <c r="D334" s="145" t="s">
        <v>249</v>
      </c>
      <c r="E334" s="167" t="s">
        <v>19</v>
      </c>
      <c r="F334" s="168" t="s">
        <v>587</v>
      </c>
      <c r="H334" s="167" t="s">
        <v>19</v>
      </c>
      <c r="I334" s="169"/>
      <c r="L334" s="166"/>
      <c r="M334" s="170"/>
      <c r="T334" s="171"/>
      <c r="AT334" s="167" t="s">
        <v>249</v>
      </c>
      <c r="AU334" s="167" t="s">
        <v>86</v>
      </c>
      <c r="AV334" s="14" t="s">
        <v>84</v>
      </c>
      <c r="AW334" s="14" t="s">
        <v>37</v>
      </c>
      <c r="AX334" s="14" t="s">
        <v>76</v>
      </c>
      <c r="AY334" s="167" t="s">
        <v>144</v>
      </c>
    </row>
    <row r="335" spans="2:51" s="12" customFormat="1" ht="12">
      <c r="B335" s="152"/>
      <c r="D335" s="145" t="s">
        <v>249</v>
      </c>
      <c r="E335" s="153" t="s">
        <v>19</v>
      </c>
      <c r="F335" s="154" t="s">
        <v>588</v>
      </c>
      <c r="H335" s="155">
        <v>158</v>
      </c>
      <c r="I335" s="156"/>
      <c r="L335" s="152"/>
      <c r="M335" s="157"/>
      <c r="T335" s="158"/>
      <c r="AT335" s="153" t="s">
        <v>249</v>
      </c>
      <c r="AU335" s="153" t="s">
        <v>86</v>
      </c>
      <c r="AV335" s="12" t="s">
        <v>86</v>
      </c>
      <c r="AW335" s="12" t="s">
        <v>37</v>
      </c>
      <c r="AX335" s="12" t="s">
        <v>76</v>
      </c>
      <c r="AY335" s="153" t="s">
        <v>144</v>
      </c>
    </row>
    <row r="336" spans="2:51" s="12" customFormat="1" ht="12">
      <c r="B336" s="152"/>
      <c r="D336" s="145" t="s">
        <v>249</v>
      </c>
      <c r="E336" s="153" t="s">
        <v>19</v>
      </c>
      <c r="F336" s="154" t="s">
        <v>589</v>
      </c>
      <c r="H336" s="155">
        <v>6</v>
      </c>
      <c r="I336" s="156"/>
      <c r="L336" s="152"/>
      <c r="M336" s="157"/>
      <c r="T336" s="158"/>
      <c r="AT336" s="153" t="s">
        <v>249</v>
      </c>
      <c r="AU336" s="153" t="s">
        <v>86</v>
      </c>
      <c r="AV336" s="12" t="s">
        <v>86</v>
      </c>
      <c r="AW336" s="12" t="s">
        <v>37</v>
      </c>
      <c r="AX336" s="12" t="s">
        <v>76</v>
      </c>
      <c r="AY336" s="153" t="s">
        <v>144</v>
      </c>
    </row>
    <row r="337" spans="2:51" s="13" customFormat="1" ht="12">
      <c r="B337" s="159"/>
      <c r="D337" s="145" t="s">
        <v>249</v>
      </c>
      <c r="E337" s="160" t="s">
        <v>19</v>
      </c>
      <c r="F337" s="161" t="s">
        <v>251</v>
      </c>
      <c r="H337" s="162">
        <v>164</v>
      </c>
      <c r="I337" s="163"/>
      <c r="L337" s="159"/>
      <c r="M337" s="164"/>
      <c r="T337" s="165"/>
      <c r="AT337" s="160" t="s">
        <v>249</v>
      </c>
      <c r="AU337" s="160" t="s">
        <v>86</v>
      </c>
      <c r="AV337" s="13" t="s">
        <v>166</v>
      </c>
      <c r="AW337" s="13" t="s">
        <v>37</v>
      </c>
      <c r="AX337" s="13" t="s">
        <v>84</v>
      </c>
      <c r="AY337" s="160" t="s">
        <v>144</v>
      </c>
    </row>
    <row r="338" spans="2:65" s="1" customFormat="1" ht="21.3" customHeight="1">
      <c r="B338" s="33"/>
      <c r="C338" s="172" t="s">
        <v>590</v>
      </c>
      <c r="D338" s="172" t="s">
        <v>410</v>
      </c>
      <c r="E338" s="173" t="s">
        <v>591</v>
      </c>
      <c r="F338" s="174" t="s">
        <v>592</v>
      </c>
      <c r="G338" s="175" t="s">
        <v>246</v>
      </c>
      <c r="H338" s="176">
        <v>161.16</v>
      </c>
      <c r="I338" s="177"/>
      <c r="J338" s="178">
        <f>ROUND(I338*H338,2)</f>
        <v>0</v>
      </c>
      <c r="K338" s="174" t="s">
        <v>151</v>
      </c>
      <c r="L338" s="179"/>
      <c r="M338" s="180" t="s">
        <v>19</v>
      </c>
      <c r="N338" s="181" t="s">
        <v>47</v>
      </c>
      <c r="P338" s="137">
        <f>O338*H338</f>
        <v>0</v>
      </c>
      <c r="Q338" s="137">
        <v>0.176</v>
      </c>
      <c r="R338" s="137">
        <f>Q338*H338</f>
        <v>28.36416</v>
      </c>
      <c r="S338" s="137">
        <v>0</v>
      </c>
      <c r="T338" s="138">
        <f>S338*H338</f>
        <v>0</v>
      </c>
      <c r="AR338" s="139" t="s">
        <v>189</v>
      </c>
      <c r="AT338" s="139" t="s">
        <v>410</v>
      </c>
      <c r="AU338" s="139" t="s">
        <v>86</v>
      </c>
      <c r="AY338" s="18" t="s">
        <v>144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84</v>
      </c>
      <c r="BK338" s="140">
        <f>ROUND(I338*H338,2)</f>
        <v>0</v>
      </c>
      <c r="BL338" s="18" t="s">
        <v>166</v>
      </c>
      <c r="BM338" s="139" t="s">
        <v>593</v>
      </c>
    </row>
    <row r="339" spans="2:51" s="12" customFormat="1" ht="12">
      <c r="B339" s="152"/>
      <c r="D339" s="145" t="s">
        <v>249</v>
      </c>
      <c r="E339" s="153" t="s">
        <v>19</v>
      </c>
      <c r="F339" s="154" t="s">
        <v>594</v>
      </c>
      <c r="H339" s="155">
        <v>158</v>
      </c>
      <c r="I339" s="156"/>
      <c r="L339" s="152"/>
      <c r="M339" s="157"/>
      <c r="T339" s="158"/>
      <c r="AT339" s="153" t="s">
        <v>249</v>
      </c>
      <c r="AU339" s="153" t="s">
        <v>86</v>
      </c>
      <c r="AV339" s="12" t="s">
        <v>86</v>
      </c>
      <c r="AW339" s="12" t="s">
        <v>37</v>
      </c>
      <c r="AX339" s="12" t="s">
        <v>76</v>
      </c>
      <c r="AY339" s="153" t="s">
        <v>144</v>
      </c>
    </row>
    <row r="340" spans="2:51" s="13" customFormat="1" ht="12">
      <c r="B340" s="159"/>
      <c r="D340" s="145" t="s">
        <v>249</v>
      </c>
      <c r="E340" s="160" t="s">
        <v>19</v>
      </c>
      <c r="F340" s="161" t="s">
        <v>251</v>
      </c>
      <c r="H340" s="162">
        <v>158</v>
      </c>
      <c r="I340" s="163"/>
      <c r="L340" s="159"/>
      <c r="M340" s="164"/>
      <c r="T340" s="165"/>
      <c r="AT340" s="160" t="s">
        <v>249</v>
      </c>
      <c r="AU340" s="160" t="s">
        <v>86</v>
      </c>
      <c r="AV340" s="13" t="s">
        <v>166</v>
      </c>
      <c r="AW340" s="13" t="s">
        <v>37</v>
      </c>
      <c r="AX340" s="13" t="s">
        <v>84</v>
      </c>
      <c r="AY340" s="160" t="s">
        <v>144</v>
      </c>
    </row>
    <row r="341" spans="2:51" s="12" customFormat="1" ht="12">
      <c r="B341" s="152"/>
      <c r="D341" s="145" t="s">
        <v>249</v>
      </c>
      <c r="F341" s="154" t="s">
        <v>595</v>
      </c>
      <c r="H341" s="155">
        <v>161.16</v>
      </c>
      <c r="I341" s="156"/>
      <c r="L341" s="152"/>
      <c r="M341" s="157"/>
      <c r="T341" s="158"/>
      <c r="AT341" s="153" t="s">
        <v>249</v>
      </c>
      <c r="AU341" s="153" t="s">
        <v>86</v>
      </c>
      <c r="AV341" s="12" t="s">
        <v>86</v>
      </c>
      <c r="AW341" s="12" t="s">
        <v>4</v>
      </c>
      <c r="AX341" s="12" t="s">
        <v>84</v>
      </c>
      <c r="AY341" s="153" t="s">
        <v>144</v>
      </c>
    </row>
    <row r="342" spans="2:65" s="1" customFormat="1" ht="21.3" customHeight="1">
      <c r="B342" s="33"/>
      <c r="C342" s="172" t="s">
        <v>596</v>
      </c>
      <c r="D342" s="172" t="s">
        <v>410</v>
      </c>
      <c r="E342" s="173" t="s">
        <v>597</v>
      </c>
      <c r="F342" s="174" t="s">
        <v>598</v>
      </c>
      <c r="G342" s="175" t="s">
        <v>246</v>
      </c>
      <c r="H342" s="176">
        <v>6.12</v>
      </c>
      <c r="I342" s="177"/>
      <c r="J342" s="178">
        <f>ROUND(I342*H342,2)</f>
        <v>0</v>
      </c>
      <c r="K342" s="174" t="s">
        <v>151</v>
      </c>
      <c r="L342" s="179"/>
      <c r="M342" s="180" t="s">
        <v>19</v>
      </c>
      <c r="N342" s="181" t="s">
        <v>47</v>
      </c>
      <c r="P342" s="137">
        <f>O342*H342</f>
        <v>0</v>
      </c>
      <c r="Q342" s="137">
        <v>0.176</v>
      </c>
      <c r="R342" s="137">
        <f>Q342*H342</f>
        <v>1.0771199999999999</v>
      </c>
      <c r="S342" s="137">
        <v>0</v>
      </c>
      <c r="T342" s="138">
        <f>S342*H342</f>
        <v>0</v>
      </c>
      <c r="AR342" s="139" t="s">
        <v>189</v>
      </c>
      <c r="AT342" s="139" t="s">
        <v>410</v>
      </c>
      <c r="AU342" s="139" t="s">
        <v>86</v>
      </c>
      <c r="AY342" s="18" t="s">
        <v>144</v>
      </c>
      <c r="BE342" s="140">
        <f>IF(N342="základní",J342,0)</f>
        <v>0</v>
      </c>
      <c r="BF342" s="140">
        <f>IF(N342="snížená",J342,0)</f>
        <v>0</v>
      </c>
      <c r="BG342" s="140">
        <f>IF(N342="zákl. přenesená",J342,0)</f>
        <v>0</v>
      </c>
      <c r="BH342" s="140">
        <f>IF(N342="sníž. přenesená",J342,0)</f>
        <v>0</v>
      </c>
      <c r="BI342" s="140">
        <f>IF(N342="nulová",J342,0)</f>
        <v>0</v>
      </c>
      <c r="BJ342" s="18" t="s">
        <v>84</v>
      </c>
      <c r="BK342" s="140">
        <f>ROUND(I342*H342,2)</f>
        <v>0</v>
      </c>
      <c r="BL342" s="18" t="s">
        <v>166</v>
      </c>
      <c r="BM342" s="139" t="s">
        <v>599</v>
      </c>
    </row>
    <row r="343" spans="2:51" s="12" customFormat="1" ht="12">
      <c r="B343" s="152"/>
      <c r="D343" s="145" t="s">
        <v>249</v>
      </c>
      <c r="E343" s="153" t="s">
        <v>19</v>
      </c>
      <c r="F343" s="154" t="s">
        <v>600</v>
      </c>
      <c r="H343" s="155">
        <v>6</v>
      </c>
      <c r="I343" s="156"/>
      <c r="L343" s="152"/>
      <c r="M343" s="157"/>
      <c r="T343" s="158"/>
      <c r="AT343" s="153" t="s">
        <v>249</v>
      </c>
      <c r="AU343" s="153" t="s">
        <v>86</v>
      </c>
      <c r="AV343" s="12" t="s">
        <v>86</v>
      </c>
      <c r="AW343" s="12" t="s">
        <v>37</v>
      </c>
      <c r="AX343" s="12" t="s">
        <v>76</v>
      </c>
      <c r="AY343" s="153" t="s">
        <v>144</v>
      </c>
    </row>
    <row r="344" spans="2:51" s="13" customFormat="1" ht="12">
      <c r="B344" s="159"/>
      <c r="D344" s="145" t="s">
        <v>249</v>
      </c>
      <c r="E344" s="160" t="s">
        <v>19</v>
      </c>
      <c r="F344" s="161" t="s">
        <v>251</v>
      </c>
      <c r="H344" s="162">
        <v>6</v>
      </c>
      <c r="I344" s="163"/>
      <c r="L344" s="159"/>
      <c r="M344" s="164"/>
      <c r="T344" s="165"/>
      <c r="AT344" s="160" t="s">
        <v>249</v>
      </c>
      <c r="AU344" s="160" t="s">
        <v>86</v>
      </c>
      <c r="AV344" s="13" t="s">
        <v>166</v>
      </c>
      <c r="AW344" s="13" t="s">
        <v>37</v>
      </c>
      <c r="AX344" s="13" t="s">
        <v>84</v>
      </c>
      <c r="AY344" s="160" t="s">
        <v>144</v>
      </c>
    </row>
    <row r="345" spans="2:51" s="12" customFormat="1" ht="12">
      <c r="B345" s="152"/>
      <c r="D345" s="145" t="s">
        <v>249</v>
      </c>
      <c r="F345" s="154" t="s">
        <v>601</v>
      </c>
      <c r="H345" s="155">
        <v>6.12</v>
      </c>
      <c r="I345" s="156"/>
      <c r="L345" s="152"/>
      <c r="M345" s="157"/>
      <c r="T345" s="158"/>
      <c r="AT345" s="153" t="s">
        <v>249</v>
      </c>
      <c r="AU345" s="153" t="s">
        <v>86</v>
      </c>
      <c r="AV345" s="12" t="s">
        <v>86</v>
      </c>
      <c r="AW345" s="12" t="s">
        <v>4</v>
      </c>
      <c r="AX345" s="12" t="s">
        <v>84</v>
      </c>
      <c r="AY345" s="153" t="s">
        <v>144</v>
      </c>
    </row>
    <row r="346" spans="2:63" s="11" customFormat="1" ht="22.8" customHeight="1">
      <c r="B346" s="116"/>
      <c r="D346" s="117" t="s">
        <v>75</v>
      </c>
      <c r="E346" s="126" t="s">
        <v>189</v>
      </c>
      <c r="F346" s="126" t="s">
        <v>602</v>
      </c>
      <c r="I346" s="119"/>
      <c r="J346" s="127">
        <f>BK346</f>
        <v>0</v>
      </c>
      <c r="L346" s="116"/>
      <c r="M346" s="121"/>
      <c r="P346" s="122">
        <f>SUM(P347:P371)</f>
        <v>0</v>
      </c>
      <c r="R346" s="122">
        <f>SUM(R347:R371)</f>
        <v>28.70014</v>
      </c>
      <c r="T346" s="123">
        <f>SUM(T347:T371)</f>
        <v>0</v>
      </c>
      <c r="AR346" s="117" t="s">
        <v>84</v>
      </c>
      <c r="AT346" s="124" t="s">
        <v>75</v>
      </c>
      <c r="AU346" s="124" t="s">
        <v>84</v>
      </c>
      <c r="AY346" s="117" t="s">
        <v>144</v>
      </c>
      <c r="BK346" s="125">
        <f>SUM(BK347:BK371)</f>
        <v>0</v>
      </c>
    </row>
    <row r="347" spans="2:65" s="1" customFormat="1" ht="15" customHeight="1">
      <c r="B347" s="33"/>
      <c r="C347" s="128" t="s">
        <v>603</v>
      </c>
      <c r="D347" s="128" t="s">
        <v>147</v>
      </c>
      <c r="E347" s="129" t="s">
        <v>604</v>
      </c>
      <c r="F347" s="130" t="s">
        <v>605</v>
      </c>
      <c r="G347" s="131" t="s">
        <v>467</v>
      </c>
      <c r="H347" s="132">
        <v>26</v>
      </c>
      <c r="I347" s="133"/>
      <c r="J347" s="134">
        <f>ROUND(I347*H347,2)</f>
        <v>0</v>
      </c>
      <c r="K347" s="130" t="s">
        <v>19</v>
      </c>
      <c r="L347" s="33"/>
      <c r="M347" s="135" t="s">
        <v>19</v>
      </c>
      <c r="N347" s="136" t="s">
        <v>47</v>
      </c>
      <c r="P347" s="137">
        <f>O347*H347</f>
        <v>0</v>
      </c>
      <c r="Q347" s="137">
        <v>0.29558</v>
      </c>
      <c r="R347" s="137">
        <f>Q347*H347</f>
        <v>7.68508</v>
      </c>
      <c r="S347" s="137">
        <v>0</v>
      </c>
      <c r="T347" s="138">
        <f>S347*H347</f>
        <v>0</v>
      </c>
      <c r="AR347" s="139" t="s">
        <v>166</v>
      </c>
      <c r="AT347" s="139" t="s">
        <v>147</v>
      </c>
      <c r="AU347" s="139" t="s">
        <v>86</v>
      </c>
      <c r="AY347" s="18" t="s">
        <v>144</v>
      </c>
      <c r="BE347" s="140">
        <f>IF(N347="základní",J347,0)</f>
        <v>0</v>
      </c>
      <c r="BF347" s="140">
        <f>IF(N347="snížená",J347,0)</f>
        <v>0</v>
      </c>
      <c r="BG347" s="140">
        <f>IF(N347="zákl. přenesená",J347,0)</f>
        <v>0</v>
      </c>
      <c r="BH347" s="140">
        <f>IF(N347="sníž. přenesená",J347,0)</f>
        <v>0</v>
      </c>
      <c r="BI347" s="140">
        <f>IF(N347="nulová",J347,0)</f>
        <v>0</v>
      </c>
      <c r="BJ347" s="18" t="s">
        <v>84</v>
      </c>
      <c r="BK347" s="140">
        <f>ROUND(I347*H347,2)</f>
        <v>0</v>
      </c>
      <c r="BL347" s="18" t="s">
        <v>166</v>
      </c>
      <c r="BM347" s="139" t="s">
        <v>606</v>
      </c>
    </row>
    <row r="348" spans="2:51" s="12" customFormat="1" ht="12">
      <c r="B348" s="152"/>
      <c r="D348" s="145" t="s">
        <v>249</v>
      </c>
      <c r="E348" s="153" t="s">
        <v>19</v>
      </c>
      <c r="F348" s="154" t="s">
        <v>607</v>
      </c>
      <c r="H348" s="155">
        <v>12</v>
      </c>
      <c r="I348" s="156"/>
      <c r="L348" s="152"/>
      <c r="M348" s="157"/>
      <c r="T348" s="158"/>
      <c r="AT348" s="153" t="s">
        <v>249</v>
      </c>
      <c r="AU348" s="153" t="s">
        <v>86</v>
      </c>
      <c r="AV348" s="12" t="s">
        <v>86</v>
      </c>
      <c r="AW348" s="12" t="s">
        <v>37</v>
      </c>
      <c r="AX348" s="12" t="s">
        <v>76</v>
      </c>
      <c r="AY348" s="153" t="s">
        <v>144</v>
      </c>
    </row>
    <row r="349" spans="2:51" s="12" customFormat="1" ht="12">
      <c r="B349" s="152"/>
      <c r="D349" s="145" t="s">
        <v>249</v>
      </c>
      <c r="E349" s="153" t="s">
        <v>19</v>
      </c>
      <c r="F349" s="154" t="s">
        <v>608</v>
      </c>
      <c r="H349" s="155">
        <v>14</v>
      </c>
      <c r="I349" s="156"/>
      <c r="L349" s="152"/>
      <c r="M349" s="157"/>
      <c r="T349" s="158"/>
      <c r="AT349" s="153" t="s">
        <v>249</v>
      </c>
      <c r="AU349" s="153" t="s">
        <v>86</v>
      </c>
      <c r="AV349" s="12" t="s">
        <v>86</v>
      </c>
      <c r="AW349" s="12" t="s">
        <v>37</v>
      </c>
      <c r="AX349" s="12" t="s">
        <v>76</v>
      </c>
      <c r="AY349" s="153" t="s">
        <v>144</v>
      </c>
    </row>
    <row r="350" spans="2:51" s="13" customFormat="1" ht="12">
      <c r="B350" s="159"/>
      <c r="D350" s="145" t="s">
        <v>249</v>
      </c>
      <c r="E350" s="160" t="s">
        <v>19</v>
      </c>
      <c r="F350" s="161" t="s">
        <v>251</v>
      </c>
      <c r="H350" s="162">
        <v>26</v>
      </c>
      <c r="I350" s="163"/>
      <c r="L350" s="159"/>
      <c r="M350" s="164"/>
      <c r="T350" s="165"/>
      <c r="AT350" s="160" t="s">
        <v>249</v>
      </c>
      <c r="AU350" s="160" t="s">
        <v>86</v>
      </c>
      <c r="AV350" s="13" t="s">
        <v>166</v>
      </c>
      <c r="AW350" s="13" t="s">
        <v>37</v>
      </c>
      <c r="AX350" s="13" t="s">
        <v>84</v>
      </c>
      <c r="AY350" s="160" t="s">
        <v>144</v>
      </c>
    </row>
    <row r="351" spans="2:65" s="1" customFormat="1" ht="23.7" customHeight="1">
      <c r="B351" s="33"/>
      <c r="C351" s="128" t="s">
        <v>609</v>
      </c>
      <c r="D351" s="128" t="s">
        <v>147</v>
      </c>
      <c r="E351" s="129" t="s">
        <v>610</v>
      </c>
      <c r="F351" s="130" t="s">
        <v>611</v>
      </c>
      <c r="G351" s="131" t="s">
        <v>150</v>
      </c>
      <c r="H351" s="132">
        <v>9</v>
      </c>
      <c r="I351" s="133"/>
      <c r="J351" s="134">
        <f>ROUND(I351*H351,2)</f>
        <v>0</v>
      </c>
      <c r="K351" s="130" t="s">
        <v>19</v>
      </c>
      <c r="L351" s="33"/>
      <c r="M351" s="135" t="s">
        <v>19</v>
      </c>
      <c r="N351" s="136" t="s">
        <v>47</v>
      </c>
      <c r="P351" s="137">
        <f>O351*H351</f>
        <v>0</v>
      </c>
      <c r="Q351" s="137">
        <v>0</v>
      </c>
      <c r="R351" s="137">
        <f>Q351*H351</f>
        <v>0</v>
      </c>
      <c r="S351" s="137">
        <v>0</v>
      </c>
      <c r="T351" s="138">
        <f>S351*H351</f>
        <v>0</v>
      </c>
      <c r="AR351" s="139" t="s">
        <v>166</v>
      </c>
      <c r="AT351" s="139" t="s">
        <v>147</v>
      </c>
      <c r="AU351" s="139" t="s">
        <v>86</v>
      </c>
      <c r="AY351" s="18" t="s">
        <v>144</v>
      </c>
      <c r="BE351" s="140">
        <f>IF(N351="základní",J351,0)</f>
        <v>0</v>
      </c>
      <c r="BF351" s="140">
        <f>IF(N351="snížená",J351,0)</f>
        <v>0</v>
      </c>
      <c r="BG351" s="140">
        <f>IF(N351="zákl. přenesená",J351,0)</f>
        <v>0</v>
      </c>
      <c r="BH351" s="140">
        <f>IF(N351="sníž. přenesená",J351,0)</f>
        <v>0</v>
      </c>
      <c r="BI351" s="140">
        <f>IF(N351="nulová",J351,0)</f>
        <v>0</v>
      </c>
      <c r="BJ351" s="18" t="s">
        <v>84</v>
      </c>
      <c r="BK351" s="140">
        <f>ROUND(I351*H351,2)</f>
        <v>0</v>
      </c>
      <c r="BL351" s="18" t="s">
        <v>166</v>
      </c>
      <c r="BM351" s="139" t="s">
        <v>612</v>
      </c>
    </row>
    <row r="352" spans="2:65" s="1" customFormat="1" ht="31.95" customHeight="1">
      <c r="B352" s="33"/>
      <c r="C352" s="128" t="s">
        <v>613</v>
      </c>
      <c r="D352" s="128" t="s">
        <v>147</v>
      </c>
      <c r="E352" s="129" t="s">
        <v>614</v>
      </c>
      <c r="F352" s="130" t="s">
        <v>615</v>
      </c>
      <c r="G352" s="131" t="s">
        <v>308</v>
      </c>
      <c r="H352" s="132">
        <v>9</v>
      </c>
      <c r="I352" s="133"/>
      <c r="J352" s="134">
        <f>ROUND(I352*H352,2)</f>
        <v>0</v>
      </c>
      <c r="K352" s="130" t="s">
        <v>441</v>
      </c>
      <c r="L352" s="33"/>
      <c r="M352" s="135" t="s">
        <v>19</v>
      </c>
      <c r="N352" s="136" t="s">
        <v>47</v>
      </c>
      <c r="P352" s="137">
        <f>O352*H352</f>
        <v>0</v>
      </c>
      <c r="Q352" s="137">
        <v>1E-05</v>
      </c>
      <c r="R352" s="137">
        <f>Q352*H352</f>
        <v>9E-05</v>
      </c>
      <c r="S352" s="137">
        <v>0</v>
      </c>
      <c r="T352" s="138">
        <f>S352*H352</f>
        <v>0</v>
      </c>
      <c r="AR352" s="139" t="s">
        <v>166</v>
      </c>
      <c r="AT352" s="139" t="s">
        <v>147</v>
      </c>
      <c r="AU352" s="139" t="s">
        <v>86</v>
      </c>
      <c r="AY352" s="18" t="s">
        <v>144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8" t="s">
        <v>84</v>
      </c>
      <c r="BK352" s="140">
        <f>ROUND(I352*H352,2)</f>
        <v>0</v>
      </c>
      <c r="BL352" s="18" t="s">
        <v>166</v>
      </c>
      <c r="BM352" s="139" t="s">
        <v>616</v>
      </c>
    </row>
    <row r="353" spans="2:47" s="1" customFormat="1" ht="12">
      <c r="B353" s="33"/>
      <c r="D353" s="141" t="s">
        <v>154</v>
      </c>
      <c r="F353" s="142" t="s">
        <v>617</v>
      </c>
      <c r="I353" s="143"/>
      <c r="L353" s="33"/>
      <c r="M353" s="144"/>
      <c r="T353" s="54"/>
      <c r="AT353" s="18" t="s">
        <v>154</v>
      </c>
      <c r="AU353" s="18" t="s">
        <v>86</v>
      </c>
    </row>
    <row r="354" spans="2:65" s="1" customFormat="1" ht="23.7" customHeight="1">
      <c r="B354" s="33"/>
      <c r="C354" s="172" t="s">
        <v>618</v>
      </c>
      <c r="D354" s="172" t="s">
        <v>410</v>
      </c>
      <c r="E354" s="173" t="s">
        <v>619</v>
      </c>
      <c r="F354" s="174" t="s">
        <v>620</v>
      </c>
      <c r="G354" s="175" t="s">
        <v>308</v>
      </c>
      <c r="H354" s="176">
        <v>9</v>
      </c>
      <c r="I354" s="177"/>
      <c r="J354" s="178">
        <f>ROUND(I354*H354,2)</f>
        <v>0</v>
      </c>
      <c r="K354" s="174" t="s">
        <v>441</v>
      </c>
      <c r="L354" s="179"/>
      <c r="M354" s="180" t="s">
        <v>19</v>
      </c>
      <c r="N354" s="181" t="s">
        <v>47</v>
      </c>
      <c r="P354" s="137">
        <f>O354*H354</f>
        <v>0</v>
      </c>
      <c r="Q354" s="137">
        <v>0.0029</v>
      </c>
      <c r="R354" s="137">
        <f>Q354*H354</f>
        <v>0.026099999999999998</v>
      </c>
      <c r="S354" s="137">
        <v>0</v>
      </c>
      <c r="T354" s="138">
        <f>S354*H354</f>
        <v>0</v>
      </c>
      <c r="AR354" s="139" t="s">
        <v>189</v>
      </c>
      <c r="AT354" s="139" t="s">
        <v>410</v>
      </c>
      <c r="AU354" s="139" t="s">
        <v>86</v>
      </c>
      <c r="AY354" s="18" t="s">
        <v>144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8" t="s">
        <v>84</v>
      </c>
      <c r="BK354" s="140">
        <f>ROUND(I354*H354,2)</f>
        <v>0</v>
      </c>
      <c r="BL354" s="18" t="s">
        <v>166</v>
      </c>
      <c r="BM354" s="139" t="s">
        <v>621</v>
      </c>
    </row>
    <row r="355" spans="2:65" s="1" customFormat="1" ht="23.7" customHeight="1">
      <c r="B355" s="33"/>
      <c r="C355" s="128" t="s">
        <v>622</v>
      </c>
      <c r="D355" s="128" t="s">
        <v>147</v>
      </c>
      <c r="E355" s="129" t="s">
        <v>623</v>
      </c>
      <c r="F355" s="130" t="s">
        <v>624</v>
      </c>
      <c r="G355" s="131" t="s">
        <v>467</v>
      </c>
      <c r="H355" s="132">
        <v>9</v>
      </c>
      <c r="I355" s="133"/>
      <c r="J355" s="134">
        <f>ROUND(I355*H355,2)</f>
        <v>0</v>
      </c>
      <c r="K355" s="130" t="s">
        <v>151</v>
      </c>
      <c r="L355" s="33"/>
      <c r="M355" s="135" t="s">
        <v>19</v>
      </c>
      <c r="N355" s="136" t="s">
        <v>47</v>
      </c>
      <c r="P355" s="137">
        <f>O355*H355</f>
        <v>0</v>
      </c>
      <c r="Q355" s="137">
        <v>1.51471</v>
      </c>
      <c r="R355" s="137">
        <f>Q355*H355</f>
        <v>13.632390000000001</v>
      </c>
      <c r="S355" s="137">
        <v>0</v>
      </c>
      <c r="T355" s="138">
        <f>S355*H355</f>
        <v>0</v>
      </c>
      <c r="AR355" s="139" t="s">
        <v>166</v>
      </c>
      <c r="AT355" s="139" t="s">
        <v>147</v>
      </c>
      <c r="AU355" s="139" t="s">
        <v>86</v>
      </c>
      <c r="AY355" s="18" t="s">
        <v>144</v>
      </c>
      <c r="BE355" s="140">
        <f>IF(N355="základní",J355,0)</f>
        <v>0</v>
      </c>
      <c r="BF355" s="140">
        <f>IF(N355="snížená",J355,0)</f>
        <v>0</v>
      </c>
      <c r="BG355" s="140">
        <f>IF(N355="zákl. přenesená",J355,0)</f>
        <v>0</v>
      </c>
      <c r="BH355" s="140">
        <f>IF(N355="sníž. přenesená",J355,0)</f>
        <v>0</v>
      </c>
      <c r="BI355" s="140">
        <f>IF(N355="nulová",J355,0)</f>
        <v>0</v>
      </c>
      <c r="BJ355" s="18" t="s">
        <v>84</v>
      </c>
      <c r="BK355" s="140">
        <f>ROUND(I355*H355,2)</f>
        <v>0</v>
      </c>
      <c r="BL355" s="18" t="s">
        <v>166</v>
      </c>
      <c r="BM355" s="139" t="s">
        <v>625</v>
      </c>
    </row>
    <row r="356" spans="2:47" s="1" customFormat="1" ht="12">
      <c r="B356" s="33"/>
      <c r="D356" s="141" t="s">
        <v>154</v>
      </c>
      <c r="F356" s="142" t="s">
        <v>626</v>
      </c>
      <c r="I356" s="143"/>
      <c r="L356" s="33"/>
      <c r="M356" s="144"/>
      <c r="T356" s="54"/>
      <c r="AT356" s="18" t="s">
        <v>154</v>
      </c>
      <c r="AU356" s="18" t="s">
        <v>86</v>
      </c>
    </row>
    <row r="357" spans="2:65" s="1" customFormat="1" ht="23.7" customHeight="1">
      <c r="B357" s="33"/>
      <c r="C357" s="128" t="s">
        <v>627</v>
      </c>
      <c r="D357" s="128" t="s">
        <v>147</v>
      </c>
      <c r="E357" s="129" t="s">
        <v>628</v>
      </c>
      <c r="F357" s="130" t="s">
        <v>629</v>
      </c>
      <c r="G357" s="131" t="s">
        <v>467</v>
      </c>
      <c r="H357" s="132">
        <v>1</v>
      </c>
      <c r="I357" s="133"/>
      <c r="J357" s="134">
        <f>ROUND(I357*H357,2)</f>
        <v>0</v>
      </c>
      <c r="K357" s="130" t="s">
        <v>151</v>
      </c>
      <c r="L357" s="33"/>
      <c r="M357" s="135" t="s">
        <v>19</v>
      </c>
      <c r="N357" s="136" t="s">
        <v>47</v>
      </c>
      <c r="P357" s="137">
        <f>O357*H357</f>
        <v>0</v>
      </c>
      <c r="Q357" s="137">
        <v>0.4584</v>
      </c>
      <c r="R357" s="137">
        <f>Q357*H357</f>
        <v>0.4584</v>
      </c>
      <c r="S357" s="137">
        <v>0</v>
      </c>
      <c r="T357" s="138">
        <f>S357*H357</f>
        <v>0</v>
      </c>
      <c r="AR357" s="139" t="s">
        <v>166</v>
      </c>
      <c r="AT357" s="139" t="s">
        <v>147</v>
      </c>
      <c r="AU357" s="139" t="s">
        <v>86</v>
      </c>
      <c r="AY357" s="18" t="s">
        <v>144</v>
      </c>
      <c r="BE357" s="140">
        <f>IF(N357="základní",J357,0)</f>
        <v>0</v>
      </c>
      <c r="BF357" s="140">
        <f>IF(N357="snížená",J357,0)</f>
        <v>0</v>
      </c>
      <c r="BG357" s="140">
        <f>IF(N357="zákl. přenesená",J357,0)</f>
        <v>0</v>
      </c>
      <c r="BH357" s="140">
        <f>IF(N357="sníž. přenesená",J357,0)</f>
        <v>0</v>
      </c>
      <c r="BI357" s="140">
        <f>IF(N357="nulová",J357,0)</f>
        <v>0</v>
      </c>
      <c r="BJ357" s="18" t="s">
        <v>84</v>
      </c>
      <c r="BK357" s="140">
        <f>ROUND(I357*H357,2)</f>
        <v>0</v>
      </c>
      <c r="BL357" s="18" t="s">
        <v>166</v>
      </c>
      <c r="BM357" s="139" t="s">
        <v>630</v>
      </c>
    </row>
    <row r="358" spans="2:47" s="1" customFormat="1" ht="12">
      <c r="B358" s="33"/>
      <c r="D358" s="141" t="s">
        <v>154</v>
      </c>
      <c r="F358" s="142" t="s">
        <v>631</v>
      </c>
      <c r="I358" s="143"/>
      <c r="L358" s="33"/>
      <c r="M358" s="144"/>
      <c r="T358" s="54"/>
      <c r="AT358" s="18" t="s">
        <v>154</v>
      </c>
      <c r="AU358" s="18" t="s">
        <v>86</v>
      </c>
    </row>
    <row r="359" spans="2:65" s="1" customFormat="1" ht="15" customHeight="1">
      <c r="B359" s="33"/>
      <c r="C359" s="172" t="s">
        <v>632</v>
      </c>
      <c r="D359" s="172" t="s">
        <v>410</v>
      </c>
      <c r="E359" s="173" t="s">
        <v>633</v>
      </c>
      <c r="F359" s="174" t="s">
        <v>634</v>
      </c>
      <c r="G359" s="175" t="s">
        <v>467</v>
      </c>
      <c r="H359" s="176">
        <v>1</v>
      </c>
      <c r="I359" s="177"/>
      <c r="J359" s="178">
        <f>ROUND(I359*H359,2)</f>
        <v>0</v>
      </c>
      <c r="K359" s="174" t="s">
        <v>151</v>
      </c>
      <c r="L359" s="179"/>
      <c r="M359" s="180" t="s">
        <v>19</v>
      </c>
      <c r="N359" s="181" t="s">
        <v>47</v>
      </c>
      <c r="P359" s="137">
        <f>O359*H359</f>
        <v>0</v>
      </c>
      <c r="Q359" s="137">
        <v>2.255</v>
      </c>
      <c r="R359" s="137">
        <f>Q359*H359</f>
        <v>2.255</v>
      </c>
      <c r="S359" s="137">
        <v>0</v>
      </c>
      <c r="T359" s="138">
        <f>S359*H359</f>
        <v>0</v>
      </c>
      <c r="AR359" s="139" t="s">
        <v>189</v>
      </c>
      <c r="AT359" s="139" t="s">
        <v>410</v>
      </c>
      <c r="AU359" s="139" t="s">
        <v>86</v>
      </c>
      <c r="AY359" s="18" t="s">
        <v>144</v>
      </c>
      <c r="BE359" s="140">
        <f>IF(N359="základní",J359,0)</f>
        <v>0</v>
      </c>
      <c r="BF359" s="140">
        <f>IF(N359="snížená",J359,0)</f>
        <v>0</v>
      </c>
      <c r="BG359" s="140">
        <f>IF(N359="zákl. přenesená",J359,0)</f>
        <v>0</v>
      </c>
      <c r="BH359" s="140">
        <f>IF(N359="sníž. přenesená",J359,0)</f>
        <v>0</v>
      </c>
      <c r="BI359" s="140">
        <f>IF(N359="nulová",J359,0)</f>
        <v>0</v>
      </c>
      <c r="BJ359" s="18" t="s">
        <v>84</v>
      </c>
      <c r="BK359" s="140">
        <f>ROUND(I359*H359,2)</f>
        <v>0</v>
      </c>
      <c r="BL359" s="18" t="s">
        <v>166</v>
      </c>
      <c r="BM359" s="139" t="s">
        <v>635</v>
      </c>
    </row>
    <row r="360" spans="2:65" s="1" customFormat="1" ht="15" customHeight="1">
      <c r="B360" s="33"/>
      <c r="C360" s="172" t="s">
        <v>636</v>
      </c>
      <c r="D360" s="172" t="s">
        <v>410</v>
      </c>
      <c r="E360" s="173" t="s">
        <v>637</v>
      </c>
      <c r="F360" s="174" t="s">
        <v>638</v>
      </c>
      <c r="G360" s="175" t="s">
        <v>467</v>
      </c>
      <c r="H360" s="176">
        <v>3</v>
      </c>
      <c r="I360" s="177"/>
      <c r="J360" s="178">
        <f>ROUND(I360*H360,2)</f>
        <v>0</v>
      </c>
      <c r="K360" s="174" t="s">
        <v>151</v>
      </c>
      <c r="L360" s="179"/>
      <c r="M360" s="180" t="s">
        <v>19</v>
      </c>
      <c r="N360" s="181" t="s">
        <v>47</v>
      </c>
      <c r="P360" s="137">
        <f>O360*H360</f>
        <v>0</v>
      </c>
      <c r="Q360" s="137">
        <v>0.455</v>
      </c>
      <c r="R360" s="137">
        <f>Q360*H360</f>
        <v>1.365</v>
      </c>
      <c r="S360" s="137">
        <v>0</v>
      </c>
      <c r="T360" s="138">
        <f>S360*H360</f>
        <v>0</v>
      </c>
      <c r="AR360" s="139" t="s">
        <v>189</v>
      </c>
      <c r="AT360" s="139" t="s">
        <v>410</v>
      </c>
      <c r="AU360" s="139" t="s">
        <v>86</v>
      </c>
      <c r="AY360" s="18" t="s">
        <v>144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8" t="s">
        <v>84</v>
      </c>
      <c r="BK360" s="140">
        <f>ROUND(I360*H360,2)</f>
        <v>0</v>
      </c>
      <c r="BL360" s="18" t="s">
        <v>166</v>
      </c>
      <c r="BM360" s="139" t="s">
        <v>639</v>
      </c>
    </row>
    <row r="361" spans="2:65" s="1" customFormat="1" ht="23.7" customHeight="1">
      <c r="B361" s="33"/>
      <c r="C361" s="172" t="s">
        <v>640</v>
      </c>
      <c r="D361" s="172" t="s">
        <v>410</v>
      </c>
      <c r="E361" s="173" t="s">
        <v>641</v>
      </c>
      <c r="F361" s="174" t="s">
        <v>642</v>
      </c>
      <c r="G361" s="175" t="s">
        <v>467</v>
      </c>
      <c r="H361" s="176">
        <v>1</v>
      </c>
      <c r="I361" s="177"/>
      <c r="J361" s="178">
        <f>ROUND(I361*H361,2)</f>
        <v>0</v>
      </c>
      <c r="K361" s="174" t="s">
        <v>151</v>
      </c>
      <c r="L361" s="179"/>
      <c r="M361" s="180" t="s">
        <v>19</v>
      </c>
      <c r="N361" s="181" t="s">
        <v>47</v>
      </c>
      <c r="P361" s="137">
        <f>O361*H361</f>
        <v>0</v>
      </c>
      <c r="Q361" s="137">
        <v>0.26</v>
      </c>
      <c r="R361" s="137">
        <f>Q361*H361</f>
        <v>0.26</v>
      </c>
      <c r="S361" s="137">
        <v>0</v>
      </c>
      <c r="T361" s="138">
        <f>S361*H361</f>
        <v>0</v>
      </c>
      <c r="AR361" s="139" t="s">
        <v>189</v>
      </c>
      <c r="AT361" s="139" t="s">
        <v>410</v>
      </c>
      <c r="AU361" s="139" t="s">
        <v>86</v>
      </c>
      <c r="AY361" s="18" t="s">
        <v>144</v>
      </c>
      <c r="BE361" s="140">
        <f>IF(N361="základní",J361,0)</f>
        <v>0</v>
      </c>
      <c r="BF361" s="140">
        <f>IF(N361="snížená",J361,0)</f>
        <v>0</v>
      </c>
      <c r="BG361" s="140">
        <f>IF(N361="zákl. přenesená",J361,0)</f>
        <v>0</v>
      </c>
      <c r="BH361" s="140">
        <f>IF(N361="sníž. přenesená",J361,0)</f>
        <v>0</v>
      </c>
      <c r="BI361" s="140">
        <f>IF(N361="nulová",J361,0)</f>
        <v>0</v>
      </c>
      <c r="BJ361" s="18" t="s">
        <v>84</v>
      </c>
      <c r="BK361" s="140">
        <f>ROUND(I361*H361,2)</f>
        <v>0</v>
      </c>
      <c r="BL361" s="18" t="s">
        <v>166</v>
      </c>
      <c r="BM361" s="139" t="s">
        <v>643</v>
      </c>
    </row>
    <row r="362" spans="2:65" s="1" customFormat="1" ht="23.7" customHeight="1">
      <c r="B362" s="33"/>
      <c r="C362" s="128" t="s">
        <v>644</v>
      </c>
      <c r="D362" s="128" t="s">
        <v>147</v>
      </c>
      <c r="E362" s="129" t="s">
        <v>645</v>
      </c>
      <c r="F362" s="130" t="s">
        <v>646</v>
      </c>
      <c r="G362" s="131" t="s">
        <v>467</v>
      </c>
      <c r="H362" s="132">
        <v>2</v>
      </c>
      <c r="I362" s="133"/>
      <c r="J362" s="134">
        <f>ROUND(I362*H362,2)</f>
        <v>0</v>
      </c>
      <c r="K362" s="130" t="s">
        <v>151</v>
      </c>
      <c r="L362" s="33"/>
      <c r="M362" s="135" t="s">
        <v>19</v>
      </c>
      <c r="N362" s="136" t="s">
        <v>47</v>
      </c>
      <c r="P362" s="137">
        <f>O362*H362</f>
        <v>0</v>
      </c>
      <c r="Q362" s="137">
        <v>0.12526</v>
      </c>
      <c r="R362" s="137">
        <f>Q362*H362</f>
        <v>0.25052</v>
      </c>
      <c r="S362" s="137">
        <v>0</v>
      </c>
      <c r="T362" s="138">
        <f>S362*H362</f>
        <v>0</v>
      </c>
      <c r="AR362" s="139" t="s">
        <v>166</v>
      </c>
      <c r="AT362" s="139" t="s">
        <v>147</v>
      </c>
      <c r="AU362" s="139" t="s">
        <v>86</v>
      </c>
      <c r="AY362" s="18" t="s">
        <v>144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8" t="s">
        <v>84</v>
      </c>
      <c r="BK362" s="140">
        <f>ROUND(I362*H362,2)</f>
        <v>0</v>
      </c>
      <c r="BL362" s="18" t="s">
        <v>166</v>
      </c>
      <c r="BM362" s="139" t="s">
        <v>647</v>
      </c>
    </row>
    <row r="363" spans="2:47" s="1" customFormat="1" ht="12">
      <c r="B363" s="33"/>
      <c r="D363" s="141" t="s">
        <v>154</v>
      </c>
      <c r="F363" s="142" t="s">
        <v>648</v>
      </c>
      <c r="I363" s="143"/>
      <c r="L363" s="33"/>
      <c r="M363" s="144"/>
      <c r="T363" s="54"/>
      <c r="AT363" s="18" t="s">
        <v>154</v>
      </c>
      <c r="AU363" s="18" t="s">
        <v>86</v>
      </c>
    </row>
    <row r="364" spans="2:65" s="1" customFormat="1" ht="21.3" customHeight="1">
      <c r="B364" s="33"/>
      <c r="C364" s="172" t="s">
        <v>649</v>
      </c>
      <c r="D364" s="172" t="s">
        <v>410</v>
      </c>
      <c r="E364" s="173" t="s">
        <v>650</v>
      </c>
      <c r="F364" s="174" t="s">
        <v>651</v>
      </c>
      <c r="G364" s="175" t="s">
        <v>467</v>
      </c>
      <c r="H364" s="176">
        <v>2</v>
      </c>
      <c r="I364" s="177"/>
      <c r="J364" s="178">
        <f>ROUND(I364*H364,2)</f>
        <v>0</v>
      </c>
      <c r="K364" s="174" t="s">
        <v>151</v>
      </c>
      <c r="L364" s="179"/>
      <c r="M364" s="180" t="s">
        <v>19</v>
      </c>
      <c r="N364" s="181" t="s">
        <v>47</v>
      </c>
      <c r="P364" s="137">
        <f>O364*H364</f>
        <v>0</v>
      </c>
      <c r="Q364" s="137">
        <v>0.232</v>
      </c>
      <c r="R364" s="137">
        <f>Q364*H364</f>
        <v>0.464</v>
      </c>
      <c r="S364" s="137">
        <v>0</v>
      </c>
      <c r="T364" s="138">
        <f>S364*H364</f>
        <v>0</v>
      </c>
      <c r="AR364" s="139" t="s">
        <v>189</v>
      </c>
      <c r="AT364" s="139" t="s">
        <v>410</v>
      </c>
      <c r="AU364" s="139" t="s">
        <v>86</v>
      </c>
      <c r="AY364" s="18" t="s">
        <v>144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8" t="s">
        <v>84</v>
      </c>
      <c r="BK364" s="140">
        <f>ROUND(I364*H364,2)</f>
        <v>0</v>
      </c>
      <c r="BL364" s="18" t="s">
        <v>166</v>
      </c>
      <c r="BM364" s="139" t="s">
        <v>652</v>
      </c>
    </row>
    <row r="365" spans="2:65" s="1" customFormat="1" ht="23.7" customHeight="1">
      <c r="B365" s="33"/>
      <c r="C365" s="128" t="s">
        <v>653</v>
      </c>
      <c r="D365" s="128" t="s">
        <v>147</v>
      </c>
      <c r="E365" s="129" t="s">
        <v>654</v>
      </c>
      <c r="F365" s="130" t="s">
        <v>655</v>
      </c>
      <c r="G365" s="131" t="s">
        <v>467</v>
      </c>
      <c r="H365" s="132">
        <v>2</v>
      </c>
      <c r="I365" s="133"/>
      <c r="J365" s="134">
        <f>ROUND(I365*H365,2)</f>
        <v>0</v>
      </c>
      <c r="K365" s="130" t="s">
        <v>151</v>
      </c>
      <c r="L365" s="33"/>
      <c r="M365" s="135" t="s">
        <v>19</v>
      </c>
      <c r="N365" s="136" t="s">
        <v>47</v>
      </c>
      <c r="P365" s="137">
        <f>O365*H365</f>
        <v>0</v>
      </c>
      <c r="Q365" s="137">
        <v>0.03076</v>
      </c>
      <c r="R365" s="137">
        <f>Q365*H365</f>
        <v>0.06152</v>
      </c>
      <c r="S365" s="137">
        <v>0</v>
      </c>
      <c r="T365" s="138">
        <f>S365*H365</f>
        <v>0</v>
      </c>
      <c r="AR365" s="139" t="s">
        <v>166</v>
      </c>
      <c r="AT365" s="139" t="s">
        <v>147</v>
      </c>
      <c r="AU365" s="139" t="s">
        <v>86</v>
      </c>
      <c r="AY365" s="18" t="s">
        <v>144</v>
      </c>
      <c r="BE365" s="140">
        <f>IF(N365="základní",J365,0)</f>
        <v>0</v>
      </c>
      <c r="BF365" s="140">
        <f>IF(N365="snížená",J365,0)</f>
        <v>0</v>
      </c>
      <c r="BG365" s="140">
        <f>IF(N365="zákl. přenesená",J365,0)</f>
        <v>0</v>
      </c>
      <c r="BH365" s="140">
        <f>IF(N365="sníž. přenesená",J365,0)</f>
        <v>0</v>
      </c>
      <c r="BI365" s="140">
        <f>IF(N365="nulová",J365,0)</f>
        <v>0</v>
      </c>
      <c r="BJ365" s="18" t="s">
        <v>84</v>
      </c>
      <c r="BK365" s="140">
        <f>ROUND(I365*H365,2)</f>
        <v>0</v>
      </c>
      <c r="BL365" s="18" t="s">
        <v>166</v>
      </c>
      <c r="BM365" s="139" t="s">
        <v>656</v>
      </c>
    </row>
    <row r="366" spans="2:47" s="1" customFormat="1" ht="12">
      <c r="B366" s="33"/>
      <c r="D366" s="141" t="s">
        <v>154</v>
      </c>
      <c r="F366" s="142" t="s">
        <v>657</v>
      </c>
      <c r="I366" s="143"/>
      <c r="L366" s="33"/>
      <c r="M366" s="144"/>
      <c r="T366" s="54"/>
      <c r="AT366" s="18" t="s">
        <v>154</v>
      </c>
      <c r="AU366" s="18" t="s">
        <v>86</v>
      </c>
    </row>
    <row r="367" spans="2:65" s="1" customFormat="1" ht="15" customHeight="1">
      <c r="B367" s="33"/>
      <c r="C367" s="172" t="s">
        <v>658</v>
      </c>
      <c r="D367" s="172" t="s">
        <v>410</v>
      </c>
      <c r="E367" s="173" t="s">
        <v>659</v>
      </c>
      <c r="F367" s="174" t="s">
        <v>660</v>
      </c>
      <c r="G367" s="175" t="s">
        <v>467</v>
      </c>
      <c r="H367" s="176">
        <v>2</v>
      </c>
      <c r="I367" s="177"/>
      <c r="J367" s="178">
        <f>ROUND(I367*H367,2)</f>
        <v>0</v>
      </c>
      <c r="K367" s="174" t="s">
        <v>151</v>
      </c>
      <c r="L367" s="179"/>
      <c r="M367" s="180" t="s">
        <v>19</v>
      </c>
      <c r="N367" s="181" t="s">
        <v>47</v>
      </c>
      <c r="P367" s="137">
        <f>O367*H367</f>
        <v>0</v>
      </c>
      <c r="Q367" s="137">
        <v>0.06</v>
      </c>
      <c r="R367" s="137">
        <f>Q367*H367</f>
        <v>0.12</v>
      </c>
      <c r="S367" s="137">
        <v>0</v>
      </c>
      <c r="T367" s="138">
        <f>S367*H367</f>
        <v>0</v>
      </c>
      <c r="AR367" s="139" t="s">
        <v>189</v>
      </c>
      <c r="AT367" s="139" t="s">
        <v>410</v>
      </c>
      <c r="AU367" s="139" t="s">
        <v>86</v>
      </c>
      <c r="AY367" s="18" t="s">
        <v>144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8" t="s">
        <v>84</v>
      </c>
      <c r="BK367" s="140">
        <f>ROUND(I367*H367,2)</f>
        <v>0</v>
      </c>
      <c r="BL367" s="18" t="s">
        <v>166</v>
      </c>
      <c r="BM367" s="139" t="s">
        <v>661</v>
      </c>
    </row>
    <row r="368" spans="2:65" s="1" customFormat="1" ht="23.7" customHeight="1">
      <c r="B368" s="33"/>
      <c r="C368" s="128" t="s">
        <v>662</v>
      </c>
      <c r="D368" s="128" t="s">
        <v>147</v>
      </c>
      <c r="E368" s="129" t="s">
        <v>663</v>
      </c>
      <c r="F368" s="130" t="s">
        <v>664</v>
      </c>
      <c r="G368" s="131" t="s">
        <v>467</v>
      </c>
      <c r="H368" s="132">
        <v>2</v>
      </c>
      <c r="I368" s="133"/>
      <c r="J368" s="134">
        <f>ROUND(I368*H368,2)</f>
        <v>0</v>
      </c>
      <c r="K368" s="130" t="s">
        <v>19</v>
      </c>
      <c r="L368" s="33"/>
      <c r="M368" s="135" t="s">
        <v>19</v>
      </c>
      <c r="N368" s="136" t="s">
        <v>47</v>
      </c>
      <c r="P368" s="137">
        <f>O368*H368</f>
        <v>0</v>
      </c>
      <c r="Q368" s="137">
        <v>0.21734</v>
      </c>
      <c r="R368" s="137">
        <f>Q368*H368</f>
        <v>0.43468</v>
      </c>
      <c r="S368" s="137">
        <v>0</v>
      </c>
      <c r="T368" s="138">
        <f>S368*H368</f>
        <v>0</v>
      </c>
      <c r="AR368" s="139" t="s">
        <v>166</v>
      </c>
      <c r="AT368" s="139" t="s">
        <v>147</v>
      </c>
      <c r="AU368" s="139" t="s">
        <v>86</v>
      </c>
      <c r="AY368" s="18" t="s">
        <v>144</v>
      </c>
      <c r="BE368" s="140">
        <f>IF(N368="základní",J368,0)</f>
        <v>0</v>
      </c>
      <c r="BF368" s="140">
        <f>IF(N368="snížená",J368,0)</f>
        <v>0</v>
      </c>
      <c r="BG368" s="140">
        <f>IF(N368="zákl. přenesená",J368,0)</f>
        <v>0</v>
      </c>
      <c r="BH368" s="140">
        <f>IF(N368="sníž. přenesená",J368,0)</f>
        <v>0</v>
      </c>
      <c r="BI368" s="140">
        <f>IF(N368="nulová",J368,0)</f>
        <v>0</v>
      </c>
      <c r="BJ368" s="18" t="s">
        <v>84</v>
      </c>
      <c r="BK368" s="140">
        <f>ROUND(I368*H368,2)</f>
        <v>0</v>
      </c>
      <c r="BL368" s="18" t="s">
        <v>166</v>
      </c>
      <c r="BM368" s="139" t="s">
        <v>665</v>
      </c>
    </row>
    <row r="369" spans="2:65" s="1" customFormat="1" ht="23.7" customHeight="1">
      <c r="B369" s="33"/>
      <c r="C369" s="172" t="s">
        <v>666</v>
      </c>
      <c r="D369" s="172" t="s">
        <v>410</v>
      </c>
      <c r="E369" s="173" t="s">
        <v>667</v>
      </c>
      <c r="F369" s="174" t="s">
        <v>668</v>
      </c>
      <c r="G369" s="175" t="s">
        <v>467</v>
      </c>
      <c r="H369" s="176">
        <v>2</v>
      </c>
      <c r="I369" s="177"/>
      <c r="J369" s="178">
        <f>ROUND(I369*H369,2)</f>
        <v>0</v>
      </c>
      <c r="K369" s="174" t="s">
        <v>19</v>
      </c>
      <c r="L369" s="179"/>
      <c r="M369" s="180" t="s">
        <v>19</v>
      </c>
      <c r="N369" s="181" t="s">
        <v>47</v>
      </c>
      <c r="P369" s="137">
        <f>O369*H369</f>
        <v>0</v>
      </c>
      <c r="Q369" s="137">
        <v>0.00208</v>
      </c>
      <c r="R369" s="137">
        <f>Q369*H369</f>
        <v>0.00416</v>
      </c>
      <c r="S369" s="137">
        <v>0</v>
      </c>
      <c r="T369" s="138">
        <f>S369*H369</f>
        <v>0</v>
      </c>
      <c r="AR369" s="139" t="s">
        <v>189</v>
      </c>
      <c r="AT369" s="139" t="s">
        <v>410</v>
      </c>
      <c r="AU369" s="139" t="s">
        <v>86</v>
      </c>
      <c r="AY369" s="18" t="s">
        <v>144</v>
      </c>
      <c r="BE369" s="140">
        <f>IF(N369="základní",J369,0)</f>
        <v>0</v>
      </c>
      <c r="BF369" s="140">
        <f>IF(N369="snížená",J369,0)</f>
        <v>0</v>
      </c>
      <c r="BG369" s="140">
        <f>IF(N369="zákl. přenesená",J369,0)</f>
        <v>0</v>
      </c>
      <c r="BH369" s="140">
        <f>IF(N369="sníž. přenesená",J369,0)</f>
        <v>0</v>
      </c>
      <c r="BI369" s="140">
        <f>IF(N369="nulová",J369,0)</f>
        <v>0</v>
      </c>
      <c r="BJ369" s="18" t="s">
        <v>84</v>
      </c>
      <c r="BK369" s="140">
        <f>ROUND(I369*H369,2)</f>
        <v>0</v>
      </c>
      <c r="BL369" s="18" t="s">
        <v>166</v>
      </c>
      <c r="BM369" s="139" t="s">
        <v>669</v>
      </c>
    </row>
    <row r="370" spans="2:65" s="1" customFormat="1" ht="23.7" customHeight="1">
      <c r="B370" s="33"/>
      <c r="C370" s="128" t="s">
        <v>670</v>
      </c>
      <c r="D370" s="128" t="s">
        <v>147</v>
      </c>
      <c r="E370" s="129" t="s">
        <v>671</v>
      </c>
      <c r="F370" s="130" t="s">
        <v>672</v>
      </c>
      <c r="G370" s="131" t="s">
        <v>467</v>
      </c>
      <c r="H370" s="132">
        <v>4</v>
      </c>
      <c r="I370" s="133"/>
      <c r="J370" s="134">
        <f>ROUND(I370*H370,2)</f>
        <v>0</v>
      </c>
      <c r="K370" s="130" t="s">
        <v>151</v>
      </c>
      <c r="L370" s="33"/>
      <c r="M370" s="135" t="s">
        <v>19</v>
      </c>
      <c r="N370" s="136" t="s">
        <v>47</v>
      </c>
      <c r="P370" s="137">
        <f>O370*H370</f>
        <v>0</v>
      </c>
      <c r="Q370" s="137">
        <v>0.4208</v>
      </c>
      <c r="R370" s="137">
        <f>Q370*H370</f>
        <v>1.6832</v>
      </c>
      <c r="S370" s="137">
        <v>0</v>
      </c>
      <c r="T370" s="138">
        <f>S370*H370</f>
        <v>0</v>
      </c>
      <c r="AR370" s="139" t="s">
        <v>166</v>
      </c>
      <c r="AT370" s="139" t="s">
        <v>147</v>
      </c>
      <c r="AU370" s="139" t="s">
        <v>86</v>
      </c>
      <c r="AY370" s="18" t="s">
        <v>144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84</v>
      </c>
      <c r="BK370" s="140">
        <f>ROUND(I370*H370,2)</f>
        <v>0</v>
      </c>
      <c r="BL370" s="18" t="s">
        <v>166</v>
      </c>
      <c r="BM370" s="139" t="s">
        <v>673</v>
      </c>
    </row>
    <row r="371" spans="2:47" s="1" customFormat="1" ht="12">
      <c r="B371" s="33"/>
      <c r="D371" s="141" t="s">
        <v>154</v>
      </c>
      <c r="F371" s="142" t="s">
        <v>674</v>
      </c>
      <c r="I371" s="143"/>
      <c r="L371" s="33"/>
      <c r="M371" s="144"/>
      <c r="T371" s="54"/>
      <c r="AT371" s="18" t="s">
        <v>154</v>
      </c>
      <c r="AU371" s="18" t="s">
        <v>86</v>
      </c>
    </row>
    <row r="372" spans="2:63" s="11" customFormat="1" ht="22.8" customHeight="1">
      <c r="B372" s="116"/>
      <c r="D372" s="117" t="s">
        <v>75</v>
      </c>
      <c r="E372" s="126" t="s">
        <v>195</v>
      </c>
      <c r="F372" s="126" t="s">
        <v>675</v>
      </c>
      <c r="I372" s="119"/>
      <c r="J372" s="127">
        <f>BK372</f>
        <v>0</v>
      </c>
      <c r="L372" s="116"/>
      <c r="M372" s="121"/>
      <c r="P372" s="122">
        <f>SUM(P373:P488)</f>
        <v>0</v>
      </c>
      <c r="R372" s="122">
        <f>SUM(R373:R488)</f>
        <v>189.05099239999998</v>
      </c>
      <c r="T372" s="123">
        <f>SUM(T373:T488)</f>
        <v>62.706</v>
      </c>
      <c r="AR372" s="117" t="s">
        <v>84</v>
      </c>
      <c r="AT372" s="124" t="s">
        <v>75</v>
      </c>
      <c r="AU372" s="124" t="s">
        <v>84</v>
      </c>
      <c r="AY372" s="117" t="s">
        <v>144</v>
      </c>
      <c r="BK372" s="125">
        <f>SUM(BK373:BK488)</f>
        <v>0</v>
      </c>
    </row>
    <row r="373" spans="2:65" s="1" customFormat="1" ht="23.7" customHeight="1">
      <c r="B373" s="33"/>
      <c r="C373" s="128" t="s">
        <v>676</v>
      </c>
      <c r="D373" s="128" t="s">
        <v>147</v>
      </c>
      <c r="E373" s="129" t="s">
        <v>677</v>
      </c>
      <c r="F373" s="130" t="s">
        <v>678</v>
      </c>
      <c r="G373" s="131" t="s">
        <v>467</v>
      </c>
      <c r="H373" s="132">
        <v>6</v>
      </c>
      <c r="I373" s="133"/>
      <c r="J373" s="134">
        <f>ROUND(I373*H373,2)</f>
        <v>0</v>
      </c>
      <c r="K373" s="130" t="s">
        <v>441</v>
      </c>
      <c r="L373" s="33"/>
      <c r="M373" s="135" t="s">
        <v>19</v>
      </c>
      <c r="N373" s="136" t="s">
        <v>47</v>
      </c>
      <c r="P373" s="137">
        <f>O373*H373</f>
        <v>0</v>
      </c>
      <c r="Q373" s="137">
        <v>0.0007</v>
      </c>
      <c r="R373" s="137">
        <f>Q373*H373</f>
        <v>0.0042</v>
      </c>
      <c r="S373" s="137">
        <v>0</v>
      </c>
      <c r="T373" s="138">
        <f>S373*H373</f>
        <v>0</v>
      </c>
      <c r="AR373" s="139" t="s">
        <v>166</v>
      </c>
      <c r="AT373" s="139" t="s">
        <v>147</v>
      </c>
      <c r="AU373" s="139" t="s">
        <v>86</v>
      </c>
      <c r="AY373" s="18" t="s">
        <v>144</v>
      </c>
      <c r="BE373" s="140">
        <f>IF(N373="základní",J373,0)</f>
        <v>0</v>
      </c>
      <c r="BF373" s="140">
        <f>IF(N373="snížená",J373,0)</f>
        <v>0</v>
      </c>
      <c r="BG373" s="140">
        <f>IF(N373="zákl. přenesená",J373,0)</f>
        <v>0</v>
      </c>
      <c r="BH373" s="140">
        <f>IF(N373="sníž. přenesená",J373,0)</f>
        <v>0</v>
      </c>
      <c r="BI373" s="140">
        <f>IF(N373="nulová",J373,0)</f>
        <v>0</v>
      </c>
      <c r="BJ373" s="18" t="s">
        <v>84</v>
      </c>
      <c r="BK373" s="140">
        <f>ROUND(I373*H373,2)</f>
        <v>0</v>
      </c>
      <c r="BL373" s="18" t="s">
        <v>166</v>
      </c>
      <c r="BM373" s="139" t="s">
        <v>679</v>
      </c>
    </row>
    <row r="374" spans="2:47" s="1" customFormat="1" ht="12">
      <c r="B374" s="33"/>
      <c r="D374" s="141" t="s">
        <v>154</v>
      </c>
      <c r="F374" s="142" t="s">
        <v>680</v>
      </c>
      <c r="I374" s="143"/>
      <c r="L374" s="33"/>
      <c r="M374" s="144"/>
      <c r="T374" s="54"/>
      <c r="AT374" s="18" t="s">
        <v>154</v>
      </c>
      <c r="AU374" s="18" t="s">
        <v>86</v>
      </c>
    </row>
    <row r="375" spans="2:51" s="12" customFormat="1" ht="12">
      <c r="B375" s="152"/>
      <c r="D375" s="145" t="s">
        <v>249</v>
      </c>
      <c r="E375" s="153" t="s">
        <v>19</v>
      </c>
      <c r="F375" s="154" t="s">
        <v>681</v>
      </c>
      <c r="H375" s="155">
        <v>1</v>
      </c>
      <c r="I375" s="156"/>
      <c r="L375" s="152"/>
      <c r="M375" s="157"/>
      <c r="T375" s="158"/>
      <c r="AT375" s="153" t="s">
        <v>249</v>
      </c>
      <c r="AU375" s="153" t="s">
        <v>86</v>
      </c>
      <c r="AV375" s="12" t="s">
        <v>86</v>
      </c>
      <c r="AW375" s="12" t="s">
        <v>37</v>
      </c>
      <c r="AX375" s="12" t="s">
        <v>76</v>
      </c>
      <c r="AY375" s="153" t="s">
        <v>144</v>
      </c>
    </row>
    <row r="376" spans="2:51" s="12" customFormat="1" ht="12">
      <c r="B376" s="152"/>
      <c r="D376" s="145" t="s">
        <v>249</v>
      </c>
      <c r="E376" s="153" t="s">
        <v>19</v>
      </c>
      <c r="F376" s="154" t="s">
        <v>682</v>
      </c>
      <c r="H376" s="155">
        <v>3</v>
      </c>
      <c r="I376" s="156"/>
      <c r="L376" s="152"/>
      <c r="M376" s="157"/>
      <c r="T376" s="158"/>
      <c r="AT376" s="153" t="s">
        <v>249</v>
      </c>
      <c r="AU376" s="153" t="s">
        <v>86</v>
      </c>
      <c r="AV376" s="12" t="s">
        <v>86</v>
      </c>
      <c r="AW376" s="12" t="s">
        <v>37</v>
      </c>
      <c r="AX376" s="12" t="s">
        <v>76</v>
      </c>
      <c r="AY376" s="153" t="s">
        <v>144</v>
      </c>
    </row>
    <row r="377" spans="2:51" s="12" customFormat="1" ht="12">
      <c r="B377" s="152"/>
      <c r="D377" s="145" t="s">
        <v>249</v>
      </c>
      <c r="E377" s="153" t="s">
        <v>19</v>
      </c>
      <c r="F377" s="154" t="s">
        <v>683</v>
      </c>
      <c r="H377" s="155">
        <v>1</v>
      </c>
      <c r="I377" s="156"/>
      <c r="L377" s="152"/>
      <c r="M377" s="157"/>
      <c r="T377" s="158"/>
      <c r="AT377" s="153" t="s">
        <v>249</v>
      </c>
      <c r="AU377" s="153" t="s">
        <v>86</v>
      </c>
      <c r="AV377" s="12" t="s">
        <v>86</v>
      </c>
      <c r="AW377" s="12" t="s">
        <v>37</v>
      </c>
      <c r="AX377" s="12" t="s">
        <v>76</v>
      </c>
      <c r="AY377" s="153" t="s">
        <v>144</v>
      </c>
    </row>
    <row r="378" spans="2:51" s="12" customFormat="1" ht="12">
      <c r="B378" s="152"/>
      <c r="D378" s="145" t="s">
        <v>249</v>
      </c>
      <c r="E378" s="153" t="s">
        <v>19</v>
      </c>
      <c r="F378" s="154" t="s">
        <v>684</v>
      </c>
      <c r="H378" s="155">
        <v>1</v>
      </c>
      <c r="I378" s="156"/>
      <c r="L378" s="152"/>
      <c r="M378" s="157"/>
      <c r="T378" s="158"/>
      <c r="AT378" s="153" t="s">
        <v>249</v>
      </c>
      <c r="AU378" s="153" t="s">
        <v>86</v>
      </c>
      <c r="AV378" s="12" t="s">
        <v>86</v>
      </c>
      <c r="AW378" s="12" t="s">
        <v>37</v>
      </c>
      <c r="AX378" s="12" t="s">
        <v>76</v>
      </c>
      <c r="AY378" s="153" t="s">
        <v>144</v>
      </c>
    </row>
    <row r="379" spans="2:51" s="13" customFormat="1" ht="12">
      <c r="B379" s="159"/>
      <c r="D379" s="145" t="s">
        <v>249</v>
      </c>
      <c r="E379" s="160" t="s">
        <v>19</v>
      </c>
      <c r="F379" s="161" t="s">
        <v>251</v>
      </c>
      <c r="H379" s="162">
        <v>6</v>
      </c>
      <c r="I379" s="163"/>
      <c r="L379" s="159"/>
      <c r="M379" s="164"/>
      <c r="T379" s="165"/>
      <c r="AT379" s="160" t="s">
        <v>249</v>
      </c>
      <c r="AU379" s="160" t="s">
        <v>86</v>
      </c>
      <c r="AV379" s="13" t="s">
        <v>166</v>
      </c>
      <c r="AW379" s="13" t="s">
        <v>37</v>
      </c>
      <c r="AX379" s="13" t="s">
        <v>84</v>
      </c>
      <c r="AY379" s="160" t="s">
        <v>144</v>
      </c>
    </row>
    <row r="380" spans="2:65" s="1" customFormat="1" ht="23.7" customHeight="1">
      <c r="B380" s="33"/>
      <c r="C380" s="172" t="s">
        <v>685</v>
      </c>
      <c r="D380" s="172" t="s">
        <v>410</v>
      </c>
      <c r="E380" s="173" t="s">
        <v>686</v>
      </c>
      <c r="F380" s="174" t="s">
        <v>687</v>
      </c>
      <c r="G380" s="175" t="s">
        <v>467</v>
      </c>
      <c r="H380" s="176">
        <v>3</v>
      </c>
      <c r="I380" s="177"/>
      <c r="J380" s="178">
        <f>ROUND(I380*H380,2)</f>
        <v>0</v>
      </c>
      <c r="K380" s="174" t="s">
        <v>441</v>
      </c>
      <c r="L380" s="179"/>
      <c r="M380" s="180" t="s">
        <v>19</v>
      </c>
      <c r="N380" s="181" t="s">
        <v>47</v>
      </c>
      <c r="P380" s="137">
        <f>O380*H380</f>
        <v>0</v>
      </c>
      <c r="Q380" s="137">
        <v>0.0035</v>
      </c>
      <c r="R380" s="137">
        <f>Q380*H380</f>
        <v>0.0105</v>
      </c>
      <c r="S380" s="137">
        <v>0</v>
      </c>
      <c r="T380" s="138">
        <f>S380*H380</f>
        <v>0</v>
      </c>
      <c r="AR380" s="139" t="s">
        <v>189</v>
      </c>
      <c r="AT380" s="139" t="s">
        <v>410</v>
      </c>
      <c r="AU380" s="139" t="s">
        <v>86</v>
      </c>
      <c r="AY380" s="18" t="s">
        <v>144</v>
      </c>
      <c r="BE380" s="140">
        <f>IF(N380="základní",J380,0)</f>
        <v>0</v>
      </c>
      <c r="BF380" s="140">
        <f>IF(N380="snížená",J380,0)</f>
        <v>0</v>
      </c>
      <c r="BG380" s="140">
        <f>IF(N380="zákl. přenesená",J380,0)</f>
        <v>0</v>
      </c>
      <c r="BH380" s="140">
        <f>IF(N380="sníž. přenesená",J380,0)</f>
        <v>0</v>
      </c>
      <c r="BI380" s="140">
        <f>IF(N380="nulová",J380,0)</f>
        <v>0</v>
      </c>
      <c r="BJ380" s="18" t="s">
        <v>84</v>
      </c>
      <c r="BK380" s="140">
        <f>ROUND(I380*H380,2)</f>
        <v>0</v>
      </c>
      <c r="BL380" s="18" t="s">
        <v>166</v>
      </c>
      <c r="BM380" s="139" t="s">
        <v>688</v>
      </c>
    </row>
    <row r="381" spans="2:51" s="12" customFormat="1" ht="12">
      <c r="B381" s="152"/>
      <c r="D381" s="145" t="s">
        <v>249</v>
      </c>
      <c r="E381" s="153" t="s">
        <v>19</v>
      </c>
      <c r="F381" s="154" t="s">
        <v>689</v>
      </c>
      <c r="H381" s="155">
        <v>3</v>
      </c>
      <c r="I381" s="156"/>
      <c r="L381" s="152"/>
      <c r="M381" s="157"/>
      <c r="T381" s="158"/>
      <c r="AT381" s="153" t="s">
        <v>249</v>
      </c>
      <c r="AU381" s="153" t="s">
        <v>86</v>
      </c>
      <c r="AV381" s="12" t="s">
        <v>86</v>
      </c>
      <c r="AW381" s="12" t="s">
        <v>37</v>
      </c>
      <c r="AX381" s="12" t="s">
        <v>76</v>
      </c>
      <c r="AY381" s="153" t="s">
        <v>144</v>
      </c>
    </row>
    <row r="382" spans="2:51" s="13" customFormat="1" ht="12">
      <c r="B382" s="159"/>
      <c r="D382" s="145" t="s">
        <v>249</v>
      </c>
      <c r="E382" s="160" t="s">
        <v>19</v>
      </c>
      <c r="F382" s="161" t="s">
        <v>251</v>
      </c>
      <c r="H382" s="162">
        <v>3</v>
      </c>
      <c r="I382" s="163"/>
      <c r="L382" s="159"/>
      <c r="M382" s="164"/>
      <c r="T382" s="165"/>
      <c r="AT382" s="160" t="s">
        <v>249</v>
      </c>
      <c r="AU382" s="160" t="s">
        <v>86</v>
      </c>
      <c r="AV382" s="13" t="s">
        <v>166</v>
      </c>
      <c r="AW382" s="13" t="s">
        <v>37</v>
      </c>
      <c r="AX382" s="13" t="s">
        <v>84</v>
      </c>
      <c r="AY382" s="160" t="s">
        <v>144</v>
      </c>
    </row>
    <row r="383" spans="2:65" s="1" customFormat="1" ht="15" customHeight="1">
      <c r="B383" s="33"/>
      <c r="C383" s="172" t="s">
        <v>690</v>
      </c>
      <c r="D383" s="172" t="s">
        <v>410</v>
      </c>
      <c r="E383" s="173" t="s">
        <v>691</v>
      </c>
      <c r="F383" s="174" t="s">
        <v>692</v>
      </c>
      <c r="G383" s="175" t="s">
        <v>467</v>
      </c>
      <c r="H383" s="176">
        <v>1</v>
      </c>
      <c r="I383" s="177"/>
      <c r="J383" s="178">
        <f>ROUND(I383*H383,2)</f>
        <v>0</v>
      </c>
      <c r="K383" s="174" t="s">
        <v>151</v>
      </c>
      <c r="L383" s="179"/>
      <c r="M383" s="180" t="s">
        <v>19</v>
      </c>
      <c r="N383" s="181" t="s">
        <v>47</v>
      </c>
      <c r="P383" s="137">
        <f>O383*H383</f>
        <v>0</v>
      </c>
      <c r="Q383" s="137">
        <v>0.004</v>
      </c>
      <c r="R383" s="137">
        <f>Q383*H383</f>
        <v>0.004</v>
      </c>
      <c r="S383" s="137">
        <v>0</v>
      </c>
      <c r="T383" s="138">
        <f>S383*H383</f>
        <v>0</v>
      </c>
      <c r="AR383" s="139" t="s">
        <v>189</v>
      </c>
      <c r="AT383" s="139" t="s">
        <v>410</v>
      </c>
      <c r="AU383" s="139" t="s">
        <v>86</v>
      </c>
      <c r="AY383" s="18" t="s">
        <v>144</v>
      </c>
      <c r="BE383" s="140">
        <f>IF(N383="základní",J383,0)</f>
        <v>0</v>
      </c>
      <c r="BF383" s="140">
        <f>IF(N383="snížená",J383,0)</f>
        <v>0</v>
      </c>
      <c r="BG383" s="140">
        <f>IF(N383="zákl. přenesená",J383,0)</f>
        <v>0</v>
      </c>
      <c r="BH383" s="140">
        <f>IF(N383="sníž. přenesená",J383,0)</f>
        <v>0</v>
      </c>
      <c r="BI383" s="140">
        <f>IF(N383="nulová",J383,0)</f>
        <v>0</v>
      </c>
      <c r="BJ383" s="18" t="s">
        <v>84</v>
      </c>
      <c r="BK383" s="140">
        <f>ROUND(I383*H383,2)</f>
        <v>0</v>
      </c>
      <c r="BL383" s="18" t="s">
        <v>166</v>
      </c>
      <c r="BM383" s="139" t="s">
        <v>693</v>
      </c>
    </row>
    <row r="384" spans="2:51" s="12" customFormat="1" ht="12">
      <c r="B384" s="152"/>
      <c r="D384" s="145" t="s">
        <v>249</v>
      </c>
      <c r="E384" s="153" t="s">
        <v>19</v>
      </c>
      <c r="F384" s="154" t="s">
        <v>681</v>
      </c>
      <c r="H384" s="155">
        <v>1</v>
      </c>
      <c r="I384" s="156"/>
      <c r="L384" s="152"/>
      <c r="M384" s="157"/>
      <c r="T384" s="158"/>
      <c r="AT384" s="153" t="s">
        <v>249</v>
      </c>
      <c r="AU384" s="153" t="s">
        <v>86</v>
      </c>
      <c r="AV384" s="12" t="s">
        <v>86</v>
      </c>
      <c r="AW384" s="12" t="s">
        <v>37</v>
      </c>
      <c r="AX384" s="12" t="s">
        <v>76</v>
      </c>
      <c r="AY384" s="153" t="s">
        <v>144</v>
      </c>
    </row>
    <row r="385" spans="2:51" s="13" customFormat="1" ht="12">
      <c r="B385" s="159"/>
      <c r="D385" s="145" t="s">
        <v>249</v>
      </c>
      <c r="E385" s="160" t="s">
        <v>19</v>
      </c>
      <c r="F385" s="161" t="s">
        <v>251</v>
      </c>
      <c r="H385" s="162">
        <v>1</v>
      </c>
      <c r="I385" s="163"/>
      <c r="L385" s="159"/>
      <c r="M385" s="164"/>
      <c r="T385" s="165"/>
      <c r="AT385" s="160" t="s">
        <v>249</v>
      </c>
      <c r="AU385" s="160" t="s">
        <v>86</v>
      </c>
      <c r="AV385" s="13" t="s">
        <v>166</v>
      </c>
      <c r="AW385" s="13" t="s">
        <v>37</v>
      </c>
      <c r="AX385" s="13" t="s">
        <v>84</v>
      </c>
      <c r="AY385" s="160" t="s">
        <v>144</v>
      </c>
    </row>
    <row r="386" spans="2:65" s="1" customFormat="1" ht="21.3" customHeight="1">
      <c r="B386" s="33"/>
      <c r="C386" s="172" t="s">
        <v>694</v>
      </c>
      <c r="D386" s="172" t="s">
        <v>410</v>
      </c>
      <c r="E386" s="173" t="s">
        <v>695</v>
      </c>
      <c r="F386" s="174" t="s">
        <v>696</v>
      </c>
      <c r="G386" s="175" t="s">
        <v>467</v>
      </c>
      <c r="H386" s="176">
        <v>1</v>
      </c>
      <c r="I386" s="177"/>
      <c r="J386" s="178">
        <f>ROUND(I386*H386,2)</f>
        <v>0</v>
      </c>
      <c r="K386" s="174" t="s">
        <v>151</v>
      </c>
      <c r="L386" s="179"/>
      <c r="M386" s="180" t="s">
        <v>19</v>
      </c>
      <c r="N386" s="181" t="s">
        <v>47</v>
      </c>
      <c r="P386" s="137">
        <f>O386*H386</f>
        <v>0</v>
      </c>
      <c r="Q386" s="137">
        <v>0.0009</v>
      </c>
      <c r="R386" s="137">
        <f>Q386*H386</f>
        <v>0.0009</v>
      </c>
      <c r="S386" s="137">
        <v>0</v>
      </c>
      <c r="T386" s="138">
        <f>S386*H386</f>
        <v>0</v>
      </c>
      <c r="AR386" s="139" t="s">
        <v>189</v>
      </c>
      <c r="AT386" s="139" t="s">
        <v>410</v>
      </c>
      <c r="AU386" s="139" t="s">
        <v>86</v>
      </c>
      <c r="AY386" s="18" t="s">
        <v>144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8" t="s">
        <v>84</v>
      </c>
      <c r="BK386" s="140">
        <f>ROUND(I386*H386,2)</f>
        <v>0</v>
      </c>
      <c r="BL386" s="18" t="s">
        <v>166</v>
      </c>
      <c r="BM386" s="139" t="s">
        <v>697</v>
      </c>
    </row>
    <row r="387" spans="2:51" s="12" customFormat="1" ht="12">
      <c r="B387" s="152"/>
      <c r="D387" s="145" t="s">
        <v>249</v>
      </c>
      <c r="E387" s="153" t="s">
        <v>19</v>
      </c>
      <c r="F387" s="154" t="s">
        <v>683</v>
      </c>
      <c r="H387" s="155">
        <v>1</v>
      </c>
      <c r="I387" s="156"/>
      <c r="L387" s="152"/>
      <c r="M387" s="157"/>
      <c r="T387" s="158"/>
      <c r="AT387" s="153" t="s">
        <v>249</v>
      </c>
      <c r="AU387" s="153" t="s">
        <v>86</v>
      </c>
      <c r="AV387" s="12" t="s">
        <v>86</v>
      </c>
      <c r="AW387" s="12" t="s">
        <v>37</v>
      </c>
      <c r="AX387" s="12" t="s">
        <v>76</v>
      </c>
      <c r="AY387" s="153" t="s">
        <v>144</v>
      </c>
    </row>
    <row r="388" spans="2:51" s="13" customFormat="1" ht="12">
      <c r="B388" s="159"/>
      <c r="D388" s="145" t="s">
        <v>249</v>
      </c>
      <c r="E388" s="160" t="s">
        <v>19</v>
      </c>
      <c r="F388" s="161" t="s">
        <v>251</v>
      </c>
      <c r="H388" s="162">
        <v>1</v>
      </c>
      <c r="I388" s="163"/>
      <c r="L388" s="159"/>
      <c r="M388" s="164"/>
      <c r="T388" s="165"/>
      <c r="AT388" s="160" t="s">
        <v>249</v>
      </c>
      <c r="AU388" s="160" t="s">
        <v>86</v>
      </c>
      <c r="AV388" s="13" t="s">
        <v>166</v>
      </c>
      <c r="AW388" s="13" t="s">
        <v>37</v>
      </c>
      <c r="AX388" s="13" t="s">
        <v>84</v>
      </c>
      <c r="AY388" s="160" t="s">
        <v>144</v>
      </c>
    </row>
    <row r="389" spans="2:65" s="1" customFormat="1" ht="23.7" customHeight="1">
      <c r="B389" s="33"/>
      <c r="C389" s="128" t="s">
        <v>698</v>
      </c>
      <c r="D389" s="128" t="s">
        <v>147</v>
      </c>
      <c r="E389" s="129" t="s">
        <v>699</v>
      </c>
      <c r="F389" s="130" t="s">
        <v>700</v>
      </c>
      <c r="G389" s="131" t="s">
        <v>467</v>
      </c>
      <c r="H389" s="132">
        <v>5</v>
      </c>
      <c r="I389" s="133"/>
      <c r="J389" s="134">
        <f>ROUND(I389*H389,2)</f>
        <v>0</v>
      </c>
      <c r="K389" s="130" t="s">
        <v>441</v>
      </c>
      <c r="L389" s="33"/>
      <c r="M389" s="135" t="s">
        <v>19</v>
      </c>
      <c r="N389" s="136" t="s">
        <v>47</v>
      </c>
      <c r="P389" s="137">
        <f>O389*H389</f>
        <v>0</v>
      </c>
      <c r="Q389" s="137">
        <v>0.11241</v>
      </c>
      <c r="R389" s="137">
        <f>Q389*H389</f>
        <v>0.5620499999999999</v>
      </c>
      <c r="S389" s="137">
        <v>0</v>
      </c>
      <c r="T389" s="138">
        <f>S389*H389</f>
        <v>0</v>
      </c>
      <c r="AR389" s="139" t="s">
        <v>166</v>
      </c>
      <c r="AT389" s="139" t="s">
        <v>147</v>
      </c>
      <c r="AU389" s="139" t="s">
        <v>86</v>
      </c>
      <c r="AY389" s="18" t="s">
        <v>144</v>
      </c>
      <c r="BE389" s="140">
        <f>IF(N389="základní",J389,0)</f>
        <v>0</v>
      </c>
      <c r="BF389" s="140">
        <f>IF(N389="snížená",J389,0)</f>
        <v>0</v>
      </c>
      <c r="BG389" s="140">
        <f>IF(N389="zákl. přenesená",J389,0)</f>
        <v>0</v>
      </c>
      <c r="BH389" s="140">
        <f>IF(N389="sníž. přenesená",J389,0)</f>
        <v>0</v>
      </c>
      <c r="BI389" s="140">
        <f>IF(N389="nulová",J389,0)</f>
        <v>0</v>
      </c>
      <c r="BJ389" s="18" t="s">
        <v>84</v>
      </c>
      <c r="BK389" s="140">
        <f>ROUND(I389*H389,2)</f>
        <v>0</v>
      </c>
      <c r="BL389" s="18" t="s">
        <v>166</v>
      </c>
      <c r="BM389" s="139" t="s">
        <v>701</v>
      </c>
    </row>
    <row r="390" spans="2:47" s="1" customFormat="1" ht="12">
      <c r="B390" s="33"/>
      <c r="D390" s="141" t="s">
        <v>154</v>
      </c>
      <c r="F390" s="142" t="s">
        <v>702</v>
      </c>
      <c r="I390" s="143"/>
      <c r="L390" s="33"/>
      <c r="M390" s="144"/>
      <c r="T390" s="54"/>
      <c r="AT390" s="18" t="s">
        <v>154</v>
      </c>
      <c r="AU390" s="18" t="s">
        <v>86</v>
      </c>
    </row>
    <row r="391" spans="2:51" s="12" customFormat="1" ht="12">
      <c r="B391" s="152"/>
      <c r="D391" s="145" t="s">
        <v>249</v>
      </c>
      <c r="E391" s="153" t="s">
        <v>19</v>
      </c>
      <c r="F391" s="154" t="s">
        <v>703</v>
      </c>
      <c r="H391" s="155">
        <v>4</v>
      </c>
      <c r="I391" s="156"/>
      <c r="L391" s="152"/>
      <c r="M391" s="157"/>
      <c r="T391" s="158"/>
      <c r="AT391" s="153" t="s">
        <v>249</v>
      </c>
      <c r="AU391" s="153" t="s">
        <v>86</v>
      </c>
      <c r="AV391" s="12" t="s">
        <v>86</v>
      </c>
      <c r="AW391" s="12" t="s">
        <v>37</v>
      </c>
      <c r="AX391" s="12" t="s">
        <v>76</v>
      </c>
      <c r="AY391" s="153" t="s">
        <v>144</v>
      </c>
    </row>
    <row r="392" spans="2:51" s="12" customFormat="1" ht="12">
      <c r="B392" s="152"/>
      <c r="D392" s="145" t="s">
        <v>249</v>
      </c>
      <c r="E392" s="153" t="s">
        <v>19</v>
      </c>
      <c r="F392" s="154" t="s">
        <v>704</v>
      </c>
      <c r="H392" s="155">
        <v>1</v>
      </c>
      <c r="I392" s="156"/>
      <c r="L392" s="152"/>
      <c r="M392" s="157"/>
      <c r="T392" s="158"/>
      <c r="AT392" s="153" t="s">
        <v>249</v>
      </c>
      <c r="AU392" s="153" t="s">
        <v>86</v>
      </c>
      <c r="AV392" s="12" t="s">
        <v>86</v>
      </c>
      <c r="AW392" s="12" t="s">
        <v>37</v>
      </c>
      <c r="AX392" s="12" t="s">
        <v>76</v>
      </c>
      <c r="AY392" s="153" t="s">
        <v>144</v>
      </c>
    </row>
    <row r="393" spans="2:51" s="13" customFormat="1" ht="12">
      <c r="B393" s="159"/>
      <c r="D393" s="145" t="s">
        <v>249</v>
      </c>
      <c r="E393" s="160" t="s">
        <v>19</v>
      </c>
      <c r="F393" s="161" t="s">
        <v>251</v>
      </c>
      <c r="H393" s="162">
        <v>5</v>
      </c>
      <c r="I393" s="163"/>
      <c r="L393" s="159"/>
      <c r="M393" s="164"/>
      <c r="T393" s="165"/>
      <c r="AT393" s="160" t="s">
        <v>249</v>
      </c>
      <c r="AU393" s="160" t="s">
        <v>86</v>
      </c>
      <c r="AV393" s="13" t="s">
        <v>166</v>
      </c>
      <c r="AW393" s="13" t="s">
        <v>37</v>
      </c>
      <c r="AX393" s="13" t="s">
        <v>84</v>
      </c>
      <c r="AY393" s="160" t="s">
        <v>144</v>
      </c>
    </row>
    <row r="394" spans="2:65" s="1" customFormat="1" ht="21.3" customHeight="1">
      <c r="B394" s="33"/>
      <c r="C394" s="172" t="s">
        <v>705</v>
      </c>
      <c r="D394" s="172" t="s">
        <v>410</v>
      </c>
      <c r="E394" s="173" t="s">
        <v>706</v>
      </c>
      <c r="F394" s="174" t="s">
        <v>707</v>
      </c>
      <c r="G394" s="175" t="s">
        <v>467</v>
      </c>
      <c r="H394" s="176">
        <v>4</v>
      </c>
      <c r="I394" s="177"/>
      <c r="J394" s="178">
        <f>ROUND(I394*H394,2)</f>
        <v>0</v>
      </c>
      <c r="K394" s="174" t="s">
        <v>441</v>
      </c>
      <c r="L394" s="179"/>
      <c r="M394" s="180" t="s">
        <v>19</v>
      </c>
      <c r="N394" s="181" t="s">
        <v>47</v>
      </c>
      <c r="P394" s="137">
        <f>O394*H394</f>
        <v>0</v>
      </c>
      <c r="Q394" s="137">
        <v>0.0061</v>
      </c>
      <c r="R394" s="137">
        <f>Q394*H394</f>
        <v>0.0244</v>
      </c>
      <c r="S394" s="137">
        <v>0</v>
      </c>
      <c r="T394" s="138">
        <f>S394*H394</f>
        <v>0</v>
      </c>
      <c r="AR394" s="139" t="s">
        <v>189</v>
      </c>
      <c r="AT394" s="139" t="s">
        <v>410</v>
      </c>
      <c r="AU394" s="139" t="s">
        <v>86</v>
      </c>
      <c r="AY394" s="18" t="s">
        <v>144</v>
      </c>
      <c r="BE394" s="140">
        <f>IF(N394="základní",J394,0)</f>
        <v>0</v>
      </c>
      <c r="BF394" s="140">
        <f>IF(N394="snížená",J394,0)</f>
        <v>0</v>
      </c>
      <c r="BG394" s="140">
        <f>IF(N394="zákl. přenesená",J394,0)</f>
        <v>0</v>
      </c>
      <c r="BH394" s="140">
        <f>IF(N394="sníž. přenesená",J394,0)</f>
        <v>0</v>
      </c>
      <c r="BI394" s="140">
        <f>IF(N394="nulová",J394,0)</f>
        <v>0</v>
      </c>
      <c r="BJ394" s="18" t="s">
        <v>84</v>
      </c>
      <c r="BK394" s="140">
        <f>ROUND(I394*H394,2)</f>
        <v>0</v>
      </c>
      <c r="BL394" s="18" t="s">
        <v>166</v>
      </c>
      <c r="BM394" s="139" t="s">
        <v>708</v>
      </c>
    </row>
    <row r="395" spans="2:65" s="1" customFormat="1" ht="23.7" customHeight="1">
      <c r="B395" s="33"/>
      <c r="C395" s="128" t="s">
        <v>709</v>
      </c>
      <c r="D395" s="128" t="s">
        <v>147</v>
      </c>
      <c r="E395" s="129" t="s">
        <v>710</v>
      </c>
      <c r="F395" s="130" t="s">
        <v>711</v>
      </c>
      <c r="G395" s="131" t="s">
        <v>308</v>
      </c>
      <c r="H395" s="132">
        <v>59</v>
      </c>
      <c r="I395" s="133"/>
      <c r="J395" s="134">
        <f>ROUND(I395*H395,2)</f>
        <v>0</v>
      </c>
      <c r="K395" s="130" t="s">
        <v>151</v>
      </c>
      <c r="L395" s="33"/>
      <c r="M395" s="135" t="s">
        <v>19</v>
      </c>
      <c r="N395" s="136" t="s">
        <v>47</v>
      </c>
      <c r="P395" s="137">
        <f>O395*H395</f>
        <v>0</v>
      </c>
      <c r="Q395" s="137">
        <v>0.00013</v>
      </c>
      <c r="R395" s="137">
        <f>Q395*H395</f>
        <v>0.00767</v>
      </c>
      <c r="S395" s="137">
        <v>0</v>
      </c>
      <c r="T395" s="138">
        <f>S395*H395</f>
        <v>0</v>
      </c>
      <c r="AR395" s="139" t="s">
        <v>166</v>
      </c>
      <c r="AT395" s="139" t="s">
        <v>147</v>
      </c>
      <c r="AU395" s="139" t="s">
        <v>86</v>
      </c>
      <c r="AY395" s="18" t="s">
        <v>144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8" t="s">
        <v>84</v>
      </c>
      <c r="BK395" s="140">
        <f>ROUND(I395*H395,2)</f>
        <v>0</v>
      </c>
      <c r="BL395" s="18" t="s">
        <v>166</v>
      </c>
      <c r="BM395" s="139" t="s">
        <v>712</v>
      </c>
    </row>
    <row r="396" spans="2:47" s="1" customFormat="1" ht="12">
      <c r="B396" s="33"/>
      <c r="D396" s="141" t="s">
        <v>154</v>
      </c>
      <c r="F396" s="142" t="s">
        <v>713</v>
      </c>
      <c r="I396" s="143"/>
      <c r="L396" s="33"/>
      <c r="M396" s="144"/>
      <c r="T396" s="54"/>
      <c r="AT396" s="18" t="s">
        <v>154</v>
      </c>
      <c r="AU396" s="18" t="s">
        <v>86</v>
      </c>
    </row>
    <row r="397" spans="2:51" s="12" customFormat="1" ht="12">
      <c r="B397" s="152"/>
      <c r="D397" s="145" t="s">
        <v>249</v>
      </c>
      <c r="E397" s="153" t="s">
        <v>19</v>
      </c>
      <c r="F397" s="154" t="s">
        <v>714</v>
      </c>
      <c r="H397" s="155">
        <v>59</v>
      </c>
      <c r="I397" s="156"/>
      <c r="L397" s="152"/>
      <c r="M397" s="157"/>
      <c r="T397" s="158"/>
      <c r="AT397" s="153" t="s">
        <v>249</v>
      </c>
      <c r="AU397" s="153" t="s">
        <v>86</v>
      </c>
      <c r="AV397" s="12" t="s">
        <v>86</v>
      </c>
      <c r="AW397" s="12" t="s">
        <v>37</v>
      </c>
      <c r="AX397" s="12" t="s">
        <v>76</v>
      </c>
      <c r="AY397" s="153" t="s">
        <v>144</v>
      </c>
    </row>
    <row r="398" spans="2:51" s="13" customFormat="1" ht="12">
      <c r="B398" s="159"/>
      <c r="D398" s="145" t="s">
        <v>249</v>
      </c>
      <c r="E398" s="160" t="s">
        <v>19</v>
      </c>
      <c r="F398" s="161" t="s">
        <v>251</v>
      </c>
      <c r="H398" s="162">
        <v>59</v>
      </c>
      <c r="I398" s="163"/>
      <c r="L398" s="159"/>
      <c r="M398" s="164"/>
      <c r="T398" s="165"/>
      <c r="AT398" s="160" t="s">
        <v>249</v>
      </c>
      <c r="AU398" s="160" t="s">
        <v>86</v>
      </c>
      <c r="AV398" s="13" t="s">
        <v>166</v>
      </c>
      <c r="AW398" s="13" t="s">
        <v>37</v>
      </c>
      <c r="AX398" s="13" t="s">
        <v>84</v>
      </c>
      <c r="AY398" s="160" t="s">
        <v>144</v>
      </c>
    </row>
    <row r="399" spans="2:65" s="1" customFormat="1" ht="23.7" customHeight="1">
      <c r="B399" s="33"/>
      <c r="C399" s="128" t="s">
        <v>715</v>
      </c>
      <c r="D399" s="128" t="s">
        <v>147</v>
      </c>
      <c r="E399" s="129" t="s">
        <v>716</v>
      </c>
      <c r="F399" s="130" t="s">
        <v>717</v>
      </c>
      <c r="G399" s="131" t="s">
        <v>308</v>
      </c>
      <c r="H399" s="132">
        <v>9</v>
      </c>
      <c r="I399" s="133"/>
      <c r="J399" s="134">
        <f>ROUND(I399*H399,2)</f>
        <v>0</v>
      </c>
      <c r="K399" s="130" t="s">
        <v>441</v>
      </c>
      <c r="L399" s="33"/>
      <c r="M399" s="135" t="s">
        <v>19</v>
      </c>
      <c r="N399" s="136" t="s">
        <v>47</v>
      </c>
      <c r="P399" s="137">
        <f>O399*H399</f>
        <v>0</v>
      </c>
      <c r="Q399" s="137">
        <v>0.00011</v>
      </c>
      <c r="R399" s="137">
        <f>Q399*H399</f>
        <v>0.00099</v>
      </c>
      <c r="S399" s="137">
        <v>0</v>
      </c>
      <c r="T399" s="138">
        <f>S399*H399</f>
        <v>0</v>
      </c>
      <c r="AR399" s="139" t="s">
        <v>166</v>
      </c>
      <c r="AT399" s="139" t="s">
        <v>147</v>
      </c>
      <c r="AU399" s="139" t="s">
        <v>86</v>
      </c>
      <c r="AY399" s="18" t="s">
        <v>144</v>
      </c>
      <c r="BE399" s="140">
        <f>IF(N399="základní",J399,0)</f>
        <v>0</v>
      </c>
      <c r="BF399" s="140">
        <f>IF(N399="snížená",J399,0)</f>
        <v>0</v>
      </c>
      <c r="BG399" s="140">
        <f>IF(N399="zákl. přenesená",J399,0)</f>
        <v>0</v>
      </c>
      <c r="BH399" s="140">
        <f>IF(N399="sníž. přenesená",J399,0)</f>
        <v>0</v>
      </c>
      <c r="BI399" s="140">
        <f>IF(N399="nulová",J399,0)</f>
        <v>0</v>
      </c>
      <c r="BJ399" s="18" t="s">
        <v>84</v>
      </c>
      <c r="BK399" s="140">
        <f>ROUND(I399*H399,2)</f>
        <v>0</v>
      </c>
      <c r="BL399" s="18" t="s">
        <v>166</v>
      </c>
      <c r="BM399" s="139" t="s">
        <v>718</v>
      </c>
    </row>
    <row r="400" spans="2:47" s="1" customFormat="1" ht="12">
      <c r="B400" s="33"/>
      <c r="D400" s="141" t="s">
        <v>154</v>
      </c>
      <c r="F400" s="142" t="s">
        <v>719</v>
      </c>
      <c r="I400" s="143"/>
      <c r="L400" s="33"/>
      <c r="M400" s="144"/>
      <c r="T400" s="54"/>
      <c r="AT400" s="18" t="s">
        <v>154</v>
      </c>
      <c r="AU400" s="18" t="s">
        <v>86</v>
      </c>
    </row>
    <row r="401" spans="2:51" s="12" customFormat="1" ht="12">
      <c r="B401" s="152"/>
      <c r="D401" s="145" t="s">
        <v>249</v>
      </c>
      <c r="E401" s="153" t="s">
        <v>19</v>
      </c>
      <c r="F401" s="154" t="s">
        <v>720</v>
      </c>
      <c r="H401" s="155">
        <v>9</v>
      </c>
      <c r="I401" s="156"/>
      <c r="L401" s="152"/>
      <c r="M401" s="157"/>
      <c r="T401" s="158"/>
      <c r="AT401" s="153" t="s">
        <v>249</v>
      </c>
      <c r="AU401" s="153" t="s">
        <v>86</v>
      </c>
      <c r="AV401" s="12" t="s">
        <v>86</v>
      </c>
      <c r="AW401" s="12" t="s">
        <v>37</v>
      </c>
      <c r="AX401" s="12" t="s">
        <v>76</v>
      </c>
      <c r="AY401" s="153" t="s">
        <v>144</v>
      </c>
    </row>
    <row r="402" spans="2:51" s="13" customFormat="1" ht="12">
      <c r="B402" s="159"/>
      <c r="D402" s="145" t="s">
        <v>249</v>
      </c>
      <c r="E402" s="160" t="s">
        <v>19</v>
      </c>
      <c r="F402" s="161" t="s">
        <v>251</v>
      </c>
      <c r="H402" s="162">
        <v>9</v>
      </c>
      <c r="I402" s="163"/>
      <c r="L402" s="159"/>
      <c r="M402" s="164"/>
      <c r="T402" s="165"/>
      <c r="AT402" s="160" t="s">
        <v>249</v>
      </c>
      <c r="AU402" s="160" t="s">
        <v>86</v>
      </c>
      <c r="AV402" s="13" t="s">
        <v>166</v>
      </c>
      <c r="AW402" s="13" t="s">
        <v>37</v>
      </c>
      <c r="AX402" s="13" t="s">
        <v>84</v>
      </c>
      <c r="AY402" s="160" t="s">
        <v>144</v>
      </c>
    </row>
    <row r="403" spans="2:65" s="1" customFormat="1" ht="31.95" customHeight="1">
      <c r="B403" s="33"/>
      <c r="C403" s="128" t="s">
        <v>721</v>
      </c>
      <c r="D403" s="128" t="s">
        <v>147</v>
      </c>
      <c r="E403" s="129" t="s">
        <v>722</v>
      </c>
      <c r="F403" s="130" t="s">
        <v>723</v>
      </c>
      <c r="G403" s="131" t="s">
        <v>246</v>
      </c>
      <c r="H403" s="132">
        <v>6</v>
      </c>
      <c r="I403" s="133"/>
      <c r="J403" s="134">
        <f>ROUND(I403*H403,2)</f>
        <v>0</v>
      </c>
      <c r="K403" s="130" t="s">
        <v>151</v>
      </c>
      <c r="L403" s="33"/>
      <c r="M403" s="135" t="s">
        <v>19</v>
      </c>
      <c r="N403" s="136" t="s">
        <v>47</v>
      </c>
      <c r="P403" s="137">
        <f>O403*H403</f>
        <v>0</v>
      </c>
      <c r="Q403" s="137">
        <v>0.00145</v>
      </c>
      <c r="R403" s="137">
        <f>Q403*H403</f>
        <v>0.0087</v>
      </c>
      <c r="S403" s="137">
        <v>0</v>
      </c>
      <c r="T403" s="138">
        <f>S403*H403</f>
        <v>0</v>
      </c>
      <c r="AR403" s="139" t="s">
        <v>166</v>
      </c>
      <c r="AT403" s="139" t="s">
        <v>147</v>
      </c>
      <c r="AU403" s="139" t="s">
        <v>86</v>
      </c>
      <c r="AY403" s="18" t="s">
        <v>144</v>
      </c>
      <c r="BE403" s="140">
        <f>IF(N403="základní",J403,0)</f>
        <v>0</v>
      </c>
      <c r="BF403" s="140">
        <f>IF(N403="snížená",J403,0)</f>
        <v>0</v>
      </c>
      <c r="BG403" s="140">
        <f>IF(N403="zákl. přenesená",J403,0)</f>
        <v>0</v>
      </c>
      <c r="BH403" s="140">
        <f>IF(N403="sníž. přenesená",J403,0)</f>
        <v>0</v>
      </c>
      <c r="BI403" s="140">
        <f>IF(N403="nulová",J403,0)</f>
        <v>0</v>
      </c>
      <c r="BJ403" s="18" t="s">
        <v>84</v>
      </c>
      <c r="BK403" s="140">
        <f>ROUND(I403*H403,2)</f>
        <v>0</v>
      </c>
      <c r="BL403" s="18" t="s">
        <v>166</v>
      </c>
      <c r="BM403" s="139" t="s">
        <v>724</v>
      </c>
    </row>
    <row r="404" spans="2:47" s="1" customFormat="1" ht="12">
      <c r="B404" s="33"/>
      <c r="D404" s="141" t="s">
        <v>154</v>
      </c>
      <c r="F404" s="142" t="s">
        <v>725</v>
      </c>
      <c r="I404" s="143"/>
      <c r="L404" s="33"/>
      <c r="M404" s="144"/>
      <c r="T404" s="54"/>
      <c r="AT404" s="18" t="s">
        <v>154</v>
      </c>
      <c r="AU404" s="18" t="s">
        <v>86</v>
      </c>
    </row>
    <row r="405" spans="2:51" s="12" customFormat="1" ht="12">
      <c r="B405" s="152"/>
      <c r="D405" s="145" t="s">
        <v>249</v>
      </c>
      <c r="E405" s="153" t="s">
        <v>19</v>
      </c>
      <c r="F405" s="154" t="s">
        <v>726</v>
      </c>
      <c r="H405" s="155">
        <v>6</v>
      </c>
      <c r="I405" s="156"/>
      <c r="L405" s="152"/>
      <c r="M405" s="157"/>
      <c r="T405" s="158"/>
      <c r="AT405" s="153" t="s">
        <v>249</v>
      </c>
      <c r="AU405" s="153" t="s">
        <v>86</v>
      </c>
      <c r="AV405" s="12" t="s">
        <v>86</v>
      </c>
      <c r="AW405" s="12" t="s">
        <v>37</v>
      </c>
      <c r="AX405" s="12" t="s">
        <v>76</v>
      </c>
      <c r="AY405" s="153" t="s">
        <v>144</v>
      </c>
    </row>
    <row r="406" spans="2:51" s="13" customFormat="1" ht="12">
      <c r="B406" s="159"/>
      <c r="D406" s="145" t="s">
        <v>249</v>
      </c>
      <c r="E406" s="160" t="s">
        <v>19</v>
      </c>
      <c r="F406" s="161" t="s">
        <v>251</v>
      </c>
      <c r="H406" s="162">
        <v>6</v>
      </c>
      <c r="I406" s="163"/>
      <c r="L406" s="159"/>
      <c r="M406" s="164"/>
      <c r="T406" s="165"/>
      <c r="AT406" s="160" t="s">
        <v>249</v>
      </c>
      <c r="AU406" s="160" t="s">
        <v>86</v>
      </c>
      <c r="AV406" s="13" t="s">
        <v>166</v>
      </c>
      <c r="AW406" s="13" t="s">
        <v>37</v>
      </c>
      <c r="AX406" s="13" t="s">
        <v>84</v>
      </c>
      <c r="AY406" s="160" t="s">
        <v>144</v>
      </c>
    </row>
    <row r="407" spans="2:65" s="1" customFormat="1" ht="31.95" customHeight="1">
      <c r="B407" s="33"/>
      <c r="C407" s="128" t="s">
        <v>727</v>
      </c>
      <c r="D407" s="128" t="s">
        <v>147</v>
      </c>
      <c r="E407" s="129" t="s">
        <v>728</v>
      </c>
      <c r="F407" s="130" t="s">
        <v>729</v>
      </c>
      <c r="G407" s="131" t="s">
        <v>308</v>
      </c>
      <c r="H407" s="132">
        <v>59</v>
      </c>
      <c r="I407" s="133"/>
      <c r="J407" s="134">
        <f>ROUND(I407*H407,2)</f>
        <v>0</v>
      </c>
      <c r="K407" s="130" t="s">
        <v>151</v>
      </c>
      <c r="L407" s="33"/>
      <c r="M407" s="135" t="s">
        <v>19</v>
      </c>
      <c r="N407" s="136" t="s">
        <v>47</v>
      </c>
      <c r="P407" s="137">
        <f>O407*H407</f>
        <v>0</v>
      </c>
      <c r="Q407" s="137">
        <v>0.00033</v>
      </c>
      <c r="R407" s="137">
        <f>Q407*H407</f>
        <v>0.01947</v>
      </c>
      <c r="S407" s="137">
        <v>0</v>
      </c>
      <c r="T407" s="138">
        <f>S407*H407</f>
        <v>0</v>
      </c>
      <c r="AR407" s="139" t="s">
        <v>166</v>
      </c>
      <c r="AT407" s="139" t="s">
        <v>147</v>
      </c>
      <c r="AU407" s="139" t="s">
        <v>86</v>
      </c>
      <c r="AY407" s="18" t="s">
        <v>144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8" t="s">
        <v>84</v>
      </c>
      <c r="BK407" s="140">
        <f>ROUND(I407*H407,2)</f>
        <v>0</v>
      </c>
      <c r="BL407" s="18" t="s">
        <v>166</v>
      </c>
      <c r="BM407" s="139" t="s">
        <v>730</v>
      </c>
    </row>
    <row r="408" spans="2:47" s="1" customFormat="1" ht="12">
      <c r="B408" s="33"/>
      <c r="D408" s="141" t="s">
        <v>154</v>
      </c>
      <c r="F408" s="142" t="s">
        <v>731</v>
      </c>
      <c r="I408" s="143"/>
      <c r="L408" s="33"/>
      <c r="M408" s="144"/>
      <c r="T408" s="54"/>
      <c r="AT408" s="18" t="s">
        <v>154</v>
      </c>
      <c r="AU408" s="18" t="s">
        <v>86</v>
      </c>
    </row>
    <row r="409" spans="2:51" s="12" customFormat="1" ht="12">
      <c r="B409" s="152"/>
      <c r="D409" s="145" t="s">
        <v>249</v>
      </c>
      <c r="E409" s="153" t="s">
        <v>19</v>
      </c>
      <c r="F409" s="154" t="s">
        <v>714</v>
      </c>
      <c r="H409" s="155">
        <v>59</v>
      </c>
      <c r="I409" s="156"/>
      <c r="L409" s="152"/>
      <c r="M409" s="157"/>
      <c r="T409" s="158"/>
      <c r="AT409" s="153" t="s">
        <v>249</v>
      </c>
      <c r="AU409" s="153" t="s">
        <v>86</v>
      </c>
      <c r="AV409" s="12" t="s">
        <v>86</v>
      </c>
      <c r="AW409" s="12" t="s">
        <v>37</v>
      </c>
      <c r="AX409" s="12" t="s">
        <v>76</v>
      </c>
      <c r="AY409" s="153" t="s">
        <v>144</v>
      </c>
    </row>
    <row r="410" spans="2:51" s="13" customFormat="1" ht="12">
      <c r="B410" s="159"/>
      <c r="D410" s="145" t="s">
        <v>249</v>
      </c>
      <c r="E410" s="160" t="s">
        <v>19</v>
      </c>
      <c r="F410" s="161" t="s">
        <v>251</v>
      </c>
      <c r="H410" s="162">
        <v>59</v>
      </c>
      <c r="I410" s="163"/>
      <c r="L410" s="159"/>
      <c r="M410" s="164"/>
      <c r="T410" s="165"/>
      <c r="AT410" s="160" t="s">
        <v>249</v>
      </c>
      <c r="AU410" s="160" t="s">
        <v>86</v>
      </c>
      <c r="AV410" s="13" t="s">
        <v>166</v>
      </c>
      <c r="AW410" s="13" t="s">
        <v>37</v>
      </c>
      <c r="AX410" s="13" t="s">
        <v>84</v>
      </c>
      <c r="AY410" s="160" t="s">
        <v>144</v>
      </c>
    </row>
    <row r="411" spans="2:65" s="1" customFormat="1" ht="31.95" customHeight="1">
      <c r="B411" s="33"/>
      <c r="C411" s="128" t="s">
        <v>732</v>
      </c>
      <c r="D411" s="128" t="s">
        <v>147</v>
      </c>
      <c r="E411" s="129" t="s">
        <v>733</v>
      </c>
      <c r="F411" s="130" t="s">
        <v>734</v>
      </c>
      <c r="G411" s="131" t="s">
        <v>308</v>
      </c>
      <c r="H411" s="132">
        <v>9</v>
      </c>
      <c r="I411" s="133"/>
      <c r="J411" s="134">
        <f>ROUND(I411*H411,2)</f>
        <v>0</v>
      </c>
      <c r="K411" s="130" t="s">
        <v>151</v>
      </c>
      <c r="L411" s="33"/>
      <c r="M411" s="135" t="s">
        <v>19</v>
      </c>
      <c r="N411" s="136" t="s">
        <v>47</v>
      </c>
      <c r="P411" s="137">
        <f>O411*H411</f>
        <v>0</v>
      </c>
      <c r="Q411" s="137">
        <v>0.00033</v>
      </c>
      <c r="R411" s="137">
        <f>Q411*H411</f>
        <v>0.00297</v>
      </c>
      <c r="S411" s="137">
        <v>0</v>
      </c>
      <c r="T411" s="138">
        <f>S411*H411</f>
        <v>0</v>
      </c>
      <c r="AR411" s="139" t="s">
        <v>166</v>
      </c>
      <c r="AT411" s="139" t="s">
        <v>147</v>
      </c>
      <c r="AU411" s="139" t="s">
        <v>86</v>
      </c>
      <c r="AY411" s="18" t="s">
        <v>144</v>
      </c>
      <c r="BE411" s="140">
        <f>IF(N411="základní",J411,0)</f>
        <v>0</v>
      </c>
      <c r="BF411" s="140">
        <f>IF(N411="snížená",J411,0)</f>
        <v>0</v>
      </c>
      <c r="BG411" s="140">
        <f>IF(N411="zákl. přenesená",J411,0)</f>
        <v>0</v>
      </c>
      <c r="BH411" s="140">
        <f>IF(N411="sníž. přenesená",J411,0)</f>
        <v>0</v>
      </c>
      <c r="BI411" s="140">
        <f>IF(N411="nulová",J411,0)</f>
        <v>0</v>
      </c>
      <c r="BJ411" s="18" t="s">
        <v>84</v>
      </c>
      <c r="BK411" s="140">
        <f>ROUND(I411*H411,2)</f>
        <v>0</v>
      </c>
      <c r="BL411" s="18" t="s">
        <v>166</v>
      </c>
      <c r="BM411" s="139" t="s">
        <v>735</v>
      </c>
    </row>
    <row r="412" spans="2:47" s="1" customFormat="1" ht="12">
      <c r="B412" s="33"/>
      <c r="D412" s="141" t="s">
        <v>154</v>
      </c>
      <c r="F412" s="142" t="s">
        <v>736</v>
      </c>
      <c r="I412" s="143"/>
      <c r="L412" s="33"/>
      <c r="M412" s="144"/>
      <c r="T412" s="54"/>
      <c r="AT412" s="18" t="s">
        <v>154</v>
      </c>
      <c r="AU412" s="18" t="s">
        <v>86</v>
      </c>
    </row>
    <row r="413" spans="2:51" s="12" customFormat="1" ht="12">
      <c r="B413" s="152"/>
      <c r="D413" s="145" t="s">
        <v>249</v>
      </c>
      <c r="E413" s="153" t="s">
        <v>19</v>
      </c>
      <c r="F413" s="154" t="s">
        <v>720</v>
      </c>
      <c r="H413" s="155">
        <v>9</v>
      </c>
      <c r="I413" s="156"/>
      <c r="L413" s="152"/>
      <c r="M413" s="157"/>
      <c r="T413" s="158"/>
      <c r="AT413" s="153" t="s">
        <v>249</v>
      </c>
      <c r="AU413" s="153" t="s">
        <v>86</v>
      </c>
      <c r="AV413" s="12" t="s">
        <v>86</v>
      </c>
      <c r="AW413" s="12" t="s">
        <v>37</v>
      </c>
      <c r="AX413" s="12" t="s">
        <v>76</v>
      </c>
      <c r="AY413" s="153" t="s">
        <v>144</v>
      </c>
    </row>
    <row r="414" spans="2:51" s="13" customFormat="1" ht="12">
      <c r="B414" s="159"/>
      <c r="D414" s="145" t="s">
        <v>249</v>
      </c>
      <c r="E414" s="160" t="s">
        <v>19</v>
      </c>
      <c r="F414" s="161" t="s">
        <v>251</v>
      </c>
      <c r="H414" s="162">
        <v>9</v>
      </c>
      <c r="I414" s="163"/>
      <c r="L414" s="159"/>
      <c r="M414" s="164"/>
      <c r="T414" s="165"/>
      <c r="AT414" s="160" t="s">
        <v>249</v>
      </c>
      <c r="AU414" s="160" t="s">
        <v>86</v>
      </c>
      <c r="AV414" s="13" t="s">
        <v>166</v>
      </c>
      <c r="AW414" s="13" t="s">
        <v>37</v>
      </c>
      <c r="AX414" s="13" t="s">
        <v>84</v>
      </c>
      <c r="AY414" s="160" t="s">
        <v>144</v>
      </c>
    </row>
    <row r="415" spans="2:65" s="1" customFormat="1" ht="36.6" customHeight="1">
      <c r="B415" s="33"/>
      <c r="C415" s="128" t="s">
        <v>737</v>
      </c>
      <c r="D415" s="128" t="s">
        <v>147</v>
      </c>
      <c r="E415" s="129" t="s">
        <v>738</v>
      </c>
      <c r="F415" s="130" t="s">
        <v>739</v>
      </c>
      <c r="G415" s="131" t="s">
        <v>246</v>
      </c>
      <c r="H415" s="132">
        <v>6</v>
      </c>
      <c r="I415" s="133"/>
      <c r="J415" s="134">
        <f>ROUND(I415*H415,2)</f>
        <v>0</v>
      </c>
      <c r="K415" s="130" t="s">
        <v>151</v>
      </c>
      <c r="L415" s="33"/>
      <c r="M415" s="135" t="s">
        <v>19</v>
      </c>
      <c r="N415" s="136" t="s">
        <v>47</v>
      </c>
      <c r="P415" s="137">
        <f>O415*H415</f>
        <v>0</v>
      </c>
      <c r="Q415" s="137">
        <v>0.0026</v>
      </c>
      <c r="R415" s="137">
        <f>Q415*H415</f>
        <v>0.0156</v>
      </c>
      <c r="S415" s="137">
        <v>0</v>
      </c>
      <c r="T415" s="138">
        <f>S415*H415</f>
        <v>0</v>
      </c>
      <c r="AR415" s="139" t="s">
        <v>166</v>
      </c>
      <c r="AT415" s="139" t="s">
        <v>147</v>
      </c>
      <c r="AU415" s="139" t="s">
        <v>86</v>
      </c>
      <c r="AY415" s="18" t="s">
        <v>144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8" t="s">
        <v>84</v>
      </c>
      <c r="BK415" s="140">
        <f>ROUND(I415*H415,2)</f>
        <v>0</v>
      </c>
      <c r="BL415" s="18" t="s">
        <v>166</v>
      </c>
      <c r="BM415" s="139" t="s">
        <v>740</v>
      </c>
    </row>
    <row r="416" spans="2:47" s="1" customFormat="1" ht="12">
      <c r="B416" s="33"/>
      <c r="D416" s="141" t="s">
        <v>154</v>
      </c>
      <c r="F416" s="142" t="s">
        <v>741</v>
      </c>
      <c r="I416" s="143"/>
      <c r="L416" s="33"/>
      <c r="M416" s="144"/>
      <c r="T416" s="54"/>
      <c r="AT416" s="18" t="s">
        <v>154</v>
      </c>
      <c r="AU416" s="18" t="s">
        <v>86</v>
      </c>
    </row>
    <row r="417" spans="2:51" s="12" customFormat="1" ht="12">
      <c r="B417" s="152"/>
      <c r="D417" s="145" t="s">
        <v>249</v>
      </c>
      <c r="E417" s="153" t="s">
        <v>19</v>
      </c>
      <c r="F417" s="154" t="s">
        <v>726</v>
      </c>
      <c r="H417" s="155">
        <v>6</v>
      </c>
      <c r="I417" s="156"/>
      <c r="L417" s="152"/>
      <c r="M417" s="157"/>
      <c r="T417" s="158"/>
      <c r="AT417" s="153" t="s">
        <v>249</v>
      </c>
      <c r="AU417" s="153" t="s">
        <v>86</v>
      </c>
      <c r="AV417" s="12" t="s">
        <v>86</v>
      </c>
      <c r="AW417" s="12" t="s">
        <v>37</v>
      </c>
      <c r="AX417" s="12" t="s">
        <v>76</v>
      </c>
      <c r="AY417" s="153" t="s">
        <v>144</v>
      </c>
    </row>
    <row r="418" spans="2:51" s="13" customFormat="1" ht="12">
      <c r="B418" s="159"/>
      <c r="D418" s="145" t="s">
        <v>249</v>
      </c>
      <c r="E418" s="160" t="s">
        <v>19</v>
      </c>
      <c r="F418" s="161" t="s">
        <v>251</v>
      </c>
      <c r="H418" s="162">
        <v>6</v>
      </c>
      <c r="I418" s="163"/>
      <c r="L418" s="159"/>
      <c r="M418" s="164"/>
      <c r="T418" s="165"/>
      <c r="AT418" s="160" t="s">
        <v>249</v>
      </c>
      <c r="AU418" s="160" t="s">
        <v>86</v>
      </c>
      <c r="AV418" s="13" t="s">
        <v>166</v>
      </c>
      <c r="AW418" s="13" t="s">
        <v>37</v>
      </c>
      <c r="AX418" s="13" t="s">
        <v>84</v>
      </c>
      <c r="AY418" s="160" t="s">
        <v>144</v>
      </c>
    </row>
    <row r="419" spans="2:65" s="1" customFormat="1" ht="36.6" customHeight="1">
      <c r="B419" s="33"/>
      <c r="C419" s="128" t="s">
        <v>742</v>
      </c>
      <c r="D419" s="128" t="s">
        <v>147</v>
      </c>
      <c r="E419" s="129" t="s">
        <v>743</v>
      </c>
      <c r="F419" s="130" t="s">
        <v>744</v>
      </c>
      <c r="G419" s="131" t="s">
        <v>308</v>
      </c>
      <c r="H419" s="132">
        <v>68</v>
      </c>
      <c r="I419" s="133"/>
      <c r="J419" s="134">
        <f>ROUND(I419*H419,2)</f>
        <v>0</v>
      </c>
      <c r="K419" s="130" t="s">
        <v>441</v>
      </c>
      <c r="L419" s="33"/>
      <c r="M419" s="135" t="s">
        <v>19</v>
      </c>
      <c r="N419" s="136" t="s">
        <v>47</v>
      </c>
      <c r="P419" s="137">
        <f>O419*H419</f>
        <v>0</v>
      </c>
      <c r="Q419" s="137">
        <v>0</v>
      </c>
      <c r="R419" s="137">
        <f>Q419*H419</f>
        <v>0</v>
      </c>
      <c r="S419" s="137">
        <v>0</v>
      </c>
      <c r="T419" s="138">
        <f>S419*H419</f>
        <v>0</v>
      </c>
      <c r="AR419" s="139" t="s">
        <v>166</v>
      </c>
      <c r="AT419" s="139" t="s">
        <v>147</v>
      </c>
      <c r="AU419" s="139" t="s">
        <v>86</v>
      </c>
      <c r="AY419" s="18" t="s">
        <v>144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8" t="s">
        <v>84</v>
      </c>
      <c r="BK419" s="140">
        <f>ROUND(I419*H419,2)</f>
        <v>0</v>
      </c>
      <c r="BL419" s="18" t="s">
        <v>166</v>
      </c>
      <c r="BM419" s="139" t="s">
        <v>745</v>
      </c>
    </row>
    <row r="420" spans="2:47" s="1" customFormat="1" ht="12">
      <c r="B420" s="33"/>
      <c r="D420" s="141" t="s">
        <v>154</v>
      </c>
      <c r="F420" s="142" t="s">
        <v>746</v>
      </c>
      <c r="I420" s="143"/>
      <c r="L420" s="33"/>
      <c r="M420" s="144"/>
      <c r="T420" s="54"/>
      <c r="AT420" s="18" t="s">
        <v>154</v>
      </c>
      <c r="AU420" s="18" t="s">
        <v>86</v>
      </c>
    </row>
    <row r="421" spans="2:51" s="12" customFormat="1" ht="12">
      <c r="B421" s="152"/>
      <c r="D421" s="145" t="s">
        <v>249</v>
      </c>
      <c r="E421" s="153" t="s">
        <v>19</v>
      </c>
      <c r="F421" s="154" t="s">
        <v>720</v>
      </c>
      <c r="H421" s="155">
        <v>9</v>
      </c>
      <c r="I421" s="156"/>
      <c r="L421" s="152"/>
      <c r="M421" s="157"/>
      <c r="T421" s="158"/>
      <c r="AT421" s="153" t="s">
        <v>249</v>
      </c>
      <c r="AU421" s="153" t="s">
        <v>86</v>
      </c>
      <c r="AV421" s="12" t="s">
        <v>86</v>
      </c>
      <c r="AW421" s="12" t="s">
        <v>37</v>
      </c>
      <c r="AX421" s="12" t="s">
        <v>76</v>
      </c>
      <c r="AY421" s="153" t="s">
        <v>144</v>
      </c>
    </row>
    <row r="422" spans="2:51" s="12" customFormat="1" ht="12">
      <c r="B422" s="152"/>
      <c r="D422" s="145" t="s">
        <v>249</v>
      </c>
      <c r="E422" s="153" t="s">
        <v>19</v>
      </c>
      <c r="F422" s="154" t="s">
        <v>714</v>
      </c>
      <c r="H422" s="155">
        <v>59</v>
      </c>
      <c r="I422" s="156"/>
      <c r="L422" s="152"/>
      <c r="M422" s="157"/>
      <c r="T422" s="158"/>
      <c r="AT422" s="153" t="s">
        <v>249</v>
      </c>
      <c r="AU422" s="153" t="s">
        <v>86</v>
      </c>
      <c r="AV422" s="12" t="s">
        <v>86</v>
      </c>
      <c r="AW422" s="12" t="s">
        <v>37</v>
      </c>
      <c r="AX422" s="12" t="s">
        <v>76</v>
      </c>
      <c r="AY422" s="153" t="s">
        <v>144</v>
      </c>
    </row>
    <row r="423" spans="2:51" s="13" customFormat="1" ht="12">
      <c r="B423" s="159"/>
      <c r="D423" s="145" t="s">
        <v>249</v>
      </c>
      <c r="E423" s="160" t="s">
        <v>19</v>
      </c>
      <c r="F423" s="161" t="s">
        <v>251</v>
      </c>
      <c r="H423" s="162">
        <v>68</v>
      </c>
      <c r="I423" s="163"/>
      <c r="L423" s="159"/>
      <c r="M423" s="164"/>
      <c r="T423" s="165"/>
      <c r="AT423" s="160" t="s">
        <v>249</v>
      </c>
      <c r="AU423" s="160" t="s">
        <v>86</v>
      </c>
      <c r="AV423" s="13" t="s">
        <v>166</v>
      </c>
      <c r="AW423" s="13" t="s">
        <v>37</v>
      </c>
      <c r="AX423" s="13" t="s">
        <v>84</v>
      </c>
      <c r="AY423" s="160" t="s">
        <v>144</v>
      </c>
    </row>
    <row r="424" spans="2:65" s="1" customFormat="1" ht="36.6" customHeight="1">
      <c r="B424" s="33"/>
      <c r="C424" s="128" t="s">
        <v>747</v>
      </c>
      <c r="D424" s="128" t="s">
        <v>147</v>
      </c>
      <c r="E424" s="129" t="s">
        <v>748</v>
      </c>
      <c r="F424" s="130" t="s">
        <v>749</v>
      </c>
      <c r="G424" s="131" t="s">
        <v>246</v>
      </c>
      <c r="H424" s="132">
        <v>6</v>
      </c>
      <c r="I424" s="133"/>
      <c r="J424" s="134">
        <f>ROUND(I424*H424,2)</f>
        <v>0</v>
      </c>
      <c r="K424" s="130" t="s">
        <v>151</v>
      </c>
      <c r="L424" s="33"/>
      <c r="M424" s="135" t="s">
        <v>19</v>
      </c>
      <c r="N424" s="136" t="s">
        <v>47</v>
      </c>
      <c r="P424" s="137">
        <f>O424*H424</f>
        <v>0</v>
      </c>
      <c r="Q424" s="137">
        <v>1E-05</v>
      </c>
      <c r="R424" s="137">
        <f>Q424*H424</f>
        <v>6.000000000000001E-05</v>
      </c>
      <c r="S424" s="137">
        <v>0</v>
      </c>
      <c r="T424" s="138">
        <f>S424*H424</f>
        <v>0</v>
      </c>
      <c r="AR424" s="139" t="s">
        <v>166</v>
      </c>
      <c r="AT424" s="139" t="s">
        <v>147</v>
      </c>
      <c r="AU424" s="139" t="s">
        <v>86</v>
      </c>
      <c r="AY424" s="18" t="s">
        <v>144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8" t="s">
        <v>84</v>
      </c>
      <c r="BK424" s="140">
        <f>ROUND(I424*H424,2)</f>
        <v>0</v>
      </c>
      <c r="BL424" s="18" t="s">
        <v>166</v>
      </c>
      <c r="BM424" s="139" t="s">
        <v>750</v>
      </c>
    </row>
    <row r="425" spans="2:47" s="1" customFormat="1" ht="12">
      <c r="B425" s="33"/>
      <c r="D425" s="141" t="s">
        <v>154</v>
      </c>
      <c r="F425" s="142" t="s">
        <v>751</v>
      </c>
      <c r="I425" s="143"/>
      <c r="L425" s="33"/>
      <c r="M425" s="144"/>
      <c r="T425" s="54"/>
      <c r="AT425" s="18" t="s">
        <v>154</v>
      </c>
      <c r="AU425" s="18" t="s">
        <v>86</v>
      </c>
    </row>
    <row r="426" spans="2:65" s="1" customFormat="1" ht="47.4" customHeight="1">
      <c r="B426" s="33"/>
      <c r="C426" s="128" t="s">
        <v>752</v>
      </c>
      <c r="D426" s="128" t="s">
        <v>147</v>
      </c>
      <c r="E426" s="129" t="s">
        <v>753</v>
      </c>
      <c r="F426" s="130" t="s">
        <v>754</v>
      </c>
      <c r="G426" s="131" t="s">
        <v>308</v>
      </c>
      <c r="H426" s="132">
        <v>483.75</v>
      </c>
      <c r="I426" s="133"/>
      <c r="J426" s="134">
        <f>ROUND(I426*H426,2)</f>
        <v>0</v>
      </c>
      <c r="K426" s="130" t="s">
        <v>441</v>
      </c>
      <c r="L426" s="33"/>
      <c r="M426" s="135" t="s">
        <v>19</v>
      </c>
      <c r="N426" s="136" t="s">
        <v>47</v>
      </c>
      <c r="P426" s="137">
        <f>O426*H426</f>
        <v>0</v>
      </c>
      <c r="Q426" s="137">
        <v>0.1554</v>
      </c>
      <c r="R426" s="137">
        <f>Q426*H426</f>
        <v>75.17475</v>
      </c>
      <c r="S426" s="137">
        <v>0</v>
      </c>
      <c r="T426" s="138">
        <f>S426*H426</f>
        <v>0</v>
      </c>
      <c r="AR426" s="139" t="s">
        <v>166</v>
      </c>
      <c r="AT426" s="139" t="s">
        <v>147</v>
      </c>
      <c r="AU426" s="139" t="s">
        <v>86</v>
      </c>
      <c r="AY426" s="18" t="s">
        <v>144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8" t="s">
        <v>84</v>
      </c>
      <c r="BK426" s="140">
        <f>ROUND(I426*H426,2)</f>
        <v>0</v>
      </c>
      <c r="BL426" s="18" t="s">
        <v>166</v>
      </c>
      <c r="BM426" s="139" t="s">
        <v>755</v>
      </c>
    </row>
    <row r="427" spans="2:47" s="1" customFormat="1" ht="12">
      <c r="B427" s="33"/>
      <c r="D427" s="141" t="s">
        <v>154</v>
      </c>
      <c r="F427" s="142" t="s">
        <v>756</v>
      </c>
      <c r="I427" s="143"/>
      <c r="L427" s="33"/>
      <c r="M427" s="144"/>
      <c r="T427" s="54"/>
      <c r="AT427" s="18" t="s">
        <v>154</v>
      </c>
      <c r="AU427" s="18" t="s">
        <v>86</v>
      </c>
    </row>
    <row r="428" spans="2:51" s="12" customFormat="1" ht="12">
      <c r="B428" s="152"/>
      <c r="D428" s="145" t="s">
        <v>249</v>
      </c>
      <c r="E428" s="153" t="s">
        <v>19</v>
      </c>
      <c r="F428" s="154" t="s">
        <v>757</v>
      </c>
      <c r="H428" s="155">
        <v>418</v>
      </c>
      <c r="I428" s="156"/>
      <c r="L428" s="152"/>
      <c r="M428" s="157"/>
      <c r="T428" s="158"/>
      <c r="AT428" s="153" t="s">
        <v>249</v>
      </c>
      <c r="AU428" s="153" t="s">
        <v>86</v>
      </c>
      <c r="AV428" s="12" t="s">
        <v>86</v>
      </c>
      <c r="AW428" s="12" t="s">
        <v>37</v>
      </c>
      <c r="AX428" s="12" t="s">
        <v>76</v>
      </c>
      <c r="AY428" s="153" t="s">
        <v>144</v>
      </c>
    </row>
    <row r="429" spans="2:51" s="12" customFormat="1" ht="12">
      <c r="B429" s="152"/>
      <c r="D429" s="145" t="s">
        <v>249</v>
      </c>
      <c r="E429" s="153" t="s">
        <v>19</v>
      </c>
      <c r="F429" s="154" t="s">
        <v>758</v>
      </c>
      <c r="H429" s="155">
        <v>43</v>
      </c>
      <c r="I429" s="156"/>
      <c r="L429" s="152"/>
      <c r="M429" s="157"/>
      <c r="T429" s="158"/>
      <c r="AT429" s="153" t="s">
        <v>249</v>
      </c>
      <c r="AU429" s="153" t="s">
        <v>86</v>
      </c>
      <c r="AV429" s="12" t="s">
        <v>86</v>
      </c>
      <c r="AW429" s="12" t="s">
        <v>37</v>
      </c>
      <c r="AX429" s="12" t="s">
        <v>76</v>
      </c>
      <c r="AY429" s="153" t="s">
        <v>144</v>
      </c>
    </row>
    <row r="430" spans="2:51" s="12" customFormat="1" ht="12">
      <c r="B430" s="152"/>
      <c r="D430" s="145" t="s">
        <v>249</v>
      </c>
      <c r="E430" s="153" t="s">
        <v>19</v>
      </c>
      <c r="F430" s="154" t="s">
        <v>759</v>
      </c>
      <c r="H430" s="155">
        <v>8</v>
      </c>
      <c r="I430" s="156"/>
      <c r="L430" s="152"/>
      <c r="M430" s="157"/>
      <c r="T430" s="158"/>
      <c r="AT430" s="153" t="s">
        <v>249</v>
      </c>
      <c r="AU430" s="153" t="s">
        <v>86</v>
      </c>
      <c r="AV430" s="12" t="s">
        <v>86</v>
      </c>
      <c r="AW430" s="12" t="s">
        <v>37</v>
      </c>
      <c r="AX430" s="12" t="s">
        <v>76</v>
      </c>
      <c r="AY430" s="153" t="s">
        <v>144</v>
      </c>
    </row>
    <row r="431" spans="2:51" s="12" customFormat="1" ht="12">
      <c r="B431" s="152"/>
      <c r="D431" s="145" t="s">
        <v>249</v>
      </c>
      <c r="E431" s="153" t="s">
        <v>19</v>
      </c>
      <c r="F431" s="154" t="s">
        <v>760</v>
      </c>
      <c r="H431" s="155">
        <v>8</v>
      </c>
      <c r="I431" s="156"/>
      <c r="L431" s="152"/>
      <c r="M431" s="157"/>
      <c r="T431" s="158"/>
      <c r="AT431" s="153" t="s">
        <v>249</v>
      </c>
      <c r="AU431" s="153" t="s">
        <v>86</v>
      </c>
      <c r="AV431" s="12" t="s">
        <v>86</v>
      </c>
      <c r="AW431" s="12" t="s">
        <v>37</v>
      </c>
      <c r="AX431" s="12" t="s">
        <v>76</v>
      </c>
      <c r="AY431" s="153" t="s">
        <v>144</v>
      </c>
    </row>
    <row r="432" spans="2:51" s="12" customFormat="1" ht="12">
      <c r="B432" s="152"/>
      <c r="D432" s="145" t="s">
        <v>249</v>
      </c>
      <c r="E432" s="153" t="s">
        <v>19</v>
      </c>
      <c r="F432" s="154" t="s">
        <v>761</v>
      </c>
      <c r="H432" s="155">
        <v>3.75</v>
      </c>
      <c r="I432" s="156"/>
      <c r="L432" s="152"/>
      <c r="M432" s="157"/>
      <c r="T432" s="158"/>
      <c r="AT432" s="153" t="s">
        <v>249</v>
      </c>
      <c r="AU432" s="153" t="s">
        <v>86</v>
      </c>
      <c r="AV432" s="12" t="s">
        <v>86</v>
      </c>
      <c r="AW432" s="12" t="s">
        <v>37</v>
      </c>
      <c r="AX432" s="12" t="s">
        <v>76</v>
      </c>
      <c r="AY432" s="153" t="s">
        <v>144</v>
      </c>
    </row>
    <row r="433" spans="2:51" s="12" customFormat="1" ht="12">
      <c r="B433" s="152"/>
      <c r="D433" s="145" t="s">
        <v>249</v>
      </c>
      <c r="E433" s="153" t="s">
        <v>19</v>
      </c>
      <c r="F433" s="154" t="s">
        <v>762</v>
      </c>
      <c r="H433" s="155">
        <v>3</v>
      </c>
      <c r="I433" s="156"/>
      <c r="L433" s="152"/>
      <c r="M433" s="157"/>
      <c r="T433" s="158"/>
      <c r="AT433" s="153" t="s">
        <v>249</v>
      </c>
      <c r="AU433" s="153" t="s">
        <v>86</v>
      </c>
      <c r="AV433" s="12" t="s">
        <v>86</v>
      </c>
      <c r="AW433" s="12" t="s">
        <v>37</v>
      </c>
      <c r="AX433" s="12" t="s">
        <v>76</v>
      </c>
      <c r="AY433" s="153" t="s">
        <v>144</v>
      </c>
    </row>
    <row r="434" spans="2:51" s="13" customFormat="1" ht="12">
      <c r="B434" s="159"/>
      <c r="D434" s="145" t="s">
        <v>249</v>
      </c>
      <c r="E434" s="160" t="s">
        <v>19</v>
      </c>
      <c r="F434" s="161" t="s">
        <v>251</v>
      </c>
      <c r="H434" s="162">
        <v>483.75</v>
      </c>
      <c r="I434" s="163"/>
      <c r="L434" s="159"/>
      <c r="M434" s="164"/>
      <c r="T434" s="165"/>
      <c r="AT434" s="160" t="s">
        <v>249</v>
      </c>
      <c r="AU434" s="160" t="s">
        <v>86</v>
      </c>
      <c r="AV434" s="13" t="s">
        <v>166</v>
      </c>
      <c r="AW434" s="13" t="s">
        <v>37</v>
      </c>
      <c r="AX434" s="13" t="s">
        <v>84</v>
      </c>
      <c r="AY434" s="160" t="s">
        <v>144</v>
      </c>
    </row>
    <row r="435" spans="2:65" s="1" customFormat="1" ht="21.3" customHeight="1">
      <c r="B435" s="33"/>
      <c r="C435" s="172" t="s">
        <v>763</v>
      </c>
      <c r="D435" s="172" t="s">
        <v>410</v>
      </c>
      <c r="E435" s="173" t="s">
        <v>764</v>
      </c>
      <c r="F435" s="174" t="s">
        <v>765</v>
      </c>
      <c r="G435" s="175" t="s">
        <v>308</v>
      </c>
      <c r="H435" s="176">
        <v>43.86</v>
      </c>
      <c r="I435" s="177"/>
      <c r="J435" s="178">
        <f>ROUND(I435*H435,2)</f>
        <v>0</v>
      </c>
      <c r="K435" s="174" t="s">
        <v>441</v>
      </c>
      <c r="L435" s="179"/>
      <c r="M435" s="180" t="s">
        <v>19</v>
      </c>
      <c r="N435" s="181" t="s">
        <v>47</v>
      </c>
      <c r="P435" s="137">
        <f>O435*H435</f>
        <v>0</v>
      </c>
      <c r="Q435" s="137">
        <v>0.0483</v>
      </c>
      <c r="R435" s="137">
        <f>Q435*H435</f>
        <v>2.1184380000000003</v>
      </c>
      <c r="S435" s="137">
        <v>0</v>
      </c>
      <c r="T435" s="138">
        <f>S435*H435</f>
        <v>0</v>
      </c>
      <c r="AR435" s="139" t="s">
        <v>189</v>
      </c>
      <c r="AT435" s="139" t="s">
        <v>410</v>
      </c>
      <c r="AU435" s="139" t="s">
        <v>86</v>
      </c>
      <c r="AY435" s="18" t="s">
        <v>144</v>
      </c>
      <c r="BE435" s="140">
        <f>IF(N435="základní",J435,0)</f>
        <v>0</v>
      </c>
      <c r="BF435" s="140">
        <f>IF(N435="snížená",J435,0)</f>
        <v>0</v>
      </c>
      <c r="BG435" s="140">
        <f>IF(N435="zákl. přenesená",J435,0)</f>
        <v>0</v>
      </c>
      <c r="BH435" s="140">
        <f>IF(N435="sníž. přenesená",J435,0)</f>
        <v>0</v>
      </c>
      <c r="BI435" s="140">
        <f>IF(N435="nulová",J435,0)</f>
        <v>0</v>
      </c>
      <c r="BJ435" s="18" t="s">
        <v>84</v>
      </c>
      <c r="BK435" s="140">
        <f>ROUND(I435*H435,2)</f>
        <v>0</v>
      </c>
      <c r="BL435" s="18" t="s">
        <v>166</v>
      </c>
      <c r="BM435" s="139" t="s">
        <v>766</v>
      </c>
    </row>
    <row r="436" spans="2:51" s="12" customFormat="1" ht="12">
      <c r="B436" s="152"/>
      <c r="D436" s="145" t="s">
        <v>249</v>
      </c>
      <c r="F436" s="154" t="s">
        <v>767</v>
      </c>
      <c r="H436" s="155">
        <v>43.86</v>
      </c>
      <c r="I436" s="156"/>
      <c r="L436" s="152"/>
      <c r="M436" s="157"/>
      <c r="T436" s="158"/>
      <c r="AT436" s="153" t="s">
        <v>249</v>
      </c>
      <c r="AU436" s="153" t="s">
        <v>86</v>
      </c>
      <c r="AV436" s="12" t="s">
        <v>86</v>
      </c>
      <c r="AW436" s="12" t="s">
        <v>4</v>
      </c>
      <c r="AX436" s="12" t="s">
        <v>84</v>
      </c>
      <c r="AY436" s="153" t="s">
        <v>144</v>
      </c>
    </row>
    <row r="437" spans="2:65" s="1" customFormat="1" ht="23.7" customHeight="1">
      <c r="B437" s="33"/>
      <c r="C437" s="172" t="s">
        <v>768</v>
      </c>
      <c r="D437" s="172" t="s">
        <v>410</v>
      </c>
      <c r="E437" s="173" t="s">
        <v>769</v>
      </c>
      <c r="F437" s="174" t="s">
        <v>770</v>
      </c>
      <c r="G437" s="175" t="s">
        <v>308</v>
      </c>
      <c r="H437" s="176">
        <v>16.32</v>
      </c>
      <c r="I437" s="177"/>
      <c r="J437" s="178">
        <f>ROUND(I437*H437,2)</f>
        <v>0</v>
      </c>
      <c r="K437" s="174" t="s">
        <v>441</v>
      </c>
      <c r="L437" s="179"/>
      <c r="M437" s="180" t="s">
        <v>19</v>
      </c>
      <c r="N437" s="181" t="s">
        <v>47</v>
      </c>
      <c r="P437" s="137">
        <f>O437*H437</f>
        <v>0</v>
      </c>
      <c r="Q437" s="137">
        <v>0.06567</v>
      </c>
      <c r="R437" s="137">
        <f>Q437*H437</f>
        <v>1.0717344000000002</v>
      </c>
      <c r="S437" s="137">
        <v>0</v>
      </c>
      <c r="T437" s="138">
        <f>S437*H437</f>
        <v>0</v>
      </c>
      <c r="AR437" s="139" t="s">
        <v>189</v>
      </c>
      <c r="AT437" s="139" t="s">
        <v>410</v>
      </c>
      <c r="AU437" s="139" t="s">
        <v>86</v>
      </c>
      <c r="AY437" s="18" t="s">
        <v>144</v>
      </c>
      <c r="BE437" s="140">
        <f>IF(N437="základní",J437,0)</f>
        <v>0</v>
      </c>
      <c r="BF437" s="140">
        <f>IF(N437="snížená",J437,0)</f>
        <v>0</v>
      </c>
      <c r="BG437" s="140">
        <f>IF(N437="zákl. přenesená",J437,0)</f>
        <v>0</v>
      </c>
      <c r="BH437" s="140">
        <f>IF(N437="sníž. přenesená",J437,0)</f>
        <v>0</v>
      </c>
      <c r="BI437" s="140">
        <f>IF(N437="nulová",J437,0)</f>
        <v>0</v>
      </c>
      <c r="BJ437" s="18" t="s">
        <v>84</v>
      </c>
      <c r="BK437" s="140">
        <f>ROUND(I437*H437,2)</f>
        <v>0</v>
      </c>
      <c r="BL437" s="18" t="s">
        <v>166</v>
      </c>
      <c r="BM437" s="139" t="s">
        <v>771</v>
      </c>
    </row>
    <row r="438" spans="2:51" s="12" customFormat="1" ht="12">
      <c r="B438" s="152"/>
      <c r="D438" s="145" t="s">
        <v>249</v>
      </c>
      <c r="E438" s="153" t="s">
        <v>19</v>
      </c>
      <c r="F438" s="154" t="s">
        <v>772</v>
      </c>
      <c r="H438" s="155">
        <v>8</v>
      </c>
      <c r="I438" s="156"/>
      <c r="L438" s="152"/>
      <c r="M438" s="157"/>
      <c r="T438" s="158"/>
      <c r="AT438" s="153" t="s">
        <v>249</v>
      </c>
      <c r="AU438" s="153" t="s">
        <v>86</v>
      </c>
      <c r="AV438" s="12" t="s">
        <v>86</v>
      </c>
      <c r="AW438" s="12" t="s">
        <v>37</v>
      </c>
      <c r="AX438" s="12" t="s">
        <v>76</v>
      </c>
      <c r="AY438" s="153" t="s">
        <v>144</v>
      </c>
    </row>
    <row r="439" spans="2:51" s="12" customFormat="1" ht="12">
      <c r="B439" s="152"/>
      <c r="D439" s="145" t="s">
        <v>249</v>
      </c>
      <c r="E439" s="153" t="s">
        <v>19</v>
      </c>
      <c r="F439" s="154" t="s">
        <v>773</v>
      </c>
      <c r="H439" s="155">
        <v>8</v>
      </c>
      <c r="I439" s="156"/>
      <c r="L439" s="152"/>
      <c r="M439" s="157"/>
      <c r="T439" s="158"/>
      <c r="AT439" s="153" t="s">
        <v>249</v>
      </c>
      <c r="AU439" s="153" t="s">
        <v>86</v>
      </c>
      <c r="AV439" s="12" t="s">
        <v>86</v>
      </c>
      <c r="AW439" s="12" t="s">
        <v>37</v>
      </c>
      <c r="AX439" s="12" t="s">
        <v>76</v>
      </c>
      <c r="AY439" s="153" t="s">
        <v>144</v>
      </c>
    </row>
    <row r="440" spans="2:51" s="13" customFormat="1" ht="12">
      <c r="B440" s="159"/>
      <c r="D440" s="145" t="s">
        <v>249</v>
      </c>
      <c r="E440" s="160" t="s">
        <v>19</v>
      </c>
      <c r="F440" s="161" t="s">
        <v>251</v>
      </c>
      <c r="H440" s="162">
        <v>16</v>
      </c>
      <c r="I440" s="163"/>
      <c r="L440" s="159"/>
      <c r="M440" s="164"/>
      <c r="T440" s="165"/>
      <c r="AT440" s="160" t="s">
        <v>249</v>
      </c>
      <c r="AU440" s="160" t="s">
        <v>86</v>
      </c>
      <c r="AV440" s="13" t="s">
        <v>166</v>
      </c>
      <c r="AW440" s="13" t="s">
        <v>37</v>
      </c>
      <c r="AX440" s="13" t="s">
        <v>84</v>
      </c>
      <c r="AY440" s="160" t="s">
        <v>144</v>
      </c>
    </row>
    <row r="441" spans="2:51" s="12" customFormat="1" ht="12">
      <c r="B441" s="152"/>
      <c r="D441" s="145" t="s">
        <v>249</v>
      </c>
      <c r="F441" s="154" t="s">
        <v>774</v>
      </c>
      <c r="H441" s="155">
        <v>16.32</v>
      </c>
      <c r="I441" s="156"/>
      <c r="L441" s="152"/>
      <c r="M441" s="157"/>
      <c r="T441" s="158"/>
      <c r="AT441" s="153" t="s">
        <v>249</v>
      </c>
      <c r="AU441" s="153" t="s">
        <v>86</v>
      </c>
      <c r="AV441" s="12" t="s">
        <v>86</v>
      </c>
      <c r="AW441" s="12" t="s">
        <v>4</v>
      </c>
      <c r="AX441" s="12" t="s">
        <v>84</v>
      </c>
      <c r="AY441" s="153" t="s">
        <v>144</v>
      </c>
    </row>
    <row r="442" spans="2:65" s="1" customFormat="1" ht="15" customHeight="1">
      <c r="B442" s="33"/>
      <c r="C442" s="172" t="s">
        <v>775</v>
      </c>
      <c r="D442" s="172" t="s">
        <v>410</v>
      </c>
      <c r="E442" s="173" t="s">
        <v>776</v>
      </c>
      <c r="F442" s="174" t="s">
        <v>777</v>
      </c>
      <c r="G442" s="175" t="s">
        <v>308</v>
      </c>
      <c r="H442" s="176">
        <v>426.36</v>
      </c>
      <c r="I442" s="177"/>
      <c r="J442" s="178">
        <f>ROUND(I442*H442,2)</f>
        <v>0</v>
      </c>
      <c r="K442" s="174" t="s">
        <v>441</v>
      </c>
      <c r="L442" s="179"/>
      <c r="M442" s="180" t="s">
        <v>19</v>
      </c>
      <c r="N442" s="181" t="s">
        <v>47</v>
      </c>
      <c r="P442" s="137">
        <f>O442*H442</f>
        <v>0</v>
      </c>
      <c r="Q442" s="137">
        <v>0.08</v>
      </c>
      <c r="R442" s="137">
        <f>Q442*H442</f>
        <v>34.1088</v>
      </c>
      <c r="S442" s="137">
        <v>0</v>
      </c>
      <c r="T442" s="138">
        <f>S442*H442</f>
        <v>0</v>
      </c>
      <c r="AR442" s="139" t="s">
        <v>189</v>
      </c>
      <c r="AT442" s="139" t="s">
        <v>410</v>
      </c>
      <c r="AU442" s="139" t="s">
        <v>86</v>
      </c>
      <c r="AY442" s="18" t="s">
        <v>144</v>
      </c>
      <c r="BE442" s="140">
        <f>IF(N442="základní",J442,0)</f>
        <v>0</v>
      </c>
      <c r="BF442" s="140">
        <f>IF(N442="snížená",J442,0)</f>
        <v>0</v>
      </c>
      <c r="BG442" s="140">
        <f>IF(N442="zákl. přenesená",J442,0)</f>
        <v>0</v>
      </c>
      <c r="BH442" s="140">
        <f>IF(N442="sníž. přenesená",J442,0)</f>
        <v>0</v>
      </c>
      <c r="BI442" s="140">
        <f>IF(N442="nulová",J442,0)</f>
        <v>0</v>
      </c>
      <c r="BJ442" s="18" t="s">
        <v>84</v>
      </c>
      <c r="BK442" s="140">
        <f>ROUND(I442*H442,2)</f>
        <v>0</v>
      </c>
      <c r="BL442" s="18" t="s">
        <v>166</v>
      </c>
      <c r="BM442" s="139" t="s">
        <v>778</v>
      </c>
    </row>
    <row r="443" spans="2:51" s="12" customFormat="1" ht="12">
      <c r="B443" s="152"/>
      <c r="D443" s="145" t="s">
        <v>249</v>
      </c>
      <c r="F443" s="154" t="s">
        <v>779</v>
      </c>
      <c r="H443" s="155">
        <v>426.36</v>
      </c>
      <c r="I443" s="156"/>
      <c r="L443" s="152"/>
      <c r="M443" s="157"/>
      <c r="T443" s="158"/>
      <c r="AT443" s="153" t="s">
        <v>249</v>
      </c>
      <c r="AU443" s="153" t="s">
        <v>86</v>
      </c>
      <c r="AV443" s="12" t="s">
        <v>86</v>
      </c>
      <c r="AW443" s="12" t="s">
        <v>4</v>
      </c>
      <c r="AX443" s="12" t="s">
        <v>84</v>
      </c>
      <c r="AY443" s="153" t="s">
        <v>144</v>
      </c>
    </row>
    <row r="444" spans="2:65" s="1" customFormat="1" ht="23.7" customHeight="1">
      <c r="B444" s="33"/>
      <c r="C444" s="172" t="s">
        <v>780</v>
      </c>
      <c r="D444" s="172" t="s">
        <v>410</v>
      </c>
      <c r="E444" s="173" t="s">
        <v>781</v>
      </c>
      <c r="F444" s="174" t="s">
        <v>782</v>
      </c>
      <c r="G444" s="175" t="s">
        <v>308</v>
      </c>
      <c r="H444" s="176">
        <v>5.1</v>
      </c>
      <c r="I444" s="177"/>
      <c r="J444" s="178">
        <f>ROUND(I444*H444,2)</f>
        <v>0</v>
      </c>
      <c r="K444" s="174" t="s">
        <v>19</v>
      </c>
      <c r="L444" s="179"/>
      <c r="M444" s="180" t="s">
        <v>19</v>
      </c>
      <c r="N444" s="181" t="s">
        <v>47</v>
      </c>
      <c r="P444" s="137">
        <f>O444*H444</f>
        <v>0</v>
      </c>
      <c r="Q444" s="137">
        <v>0.061</v>
      </c>
      <c r="R444" s="137">
        <f>Q444*H444</f>
        <v>0.3111</v>
      </c>
      <c r="S444" s="137">
        <v>0</v>
      </c>
      <c r="T444" s="138">
        <f>S444*H444</f>
        <v>0</v>
      </c>
      <c r="AR444" s="139" t="s">
        <v>189</v>
      </c>
      <c r="AT444" s="139" t="s">
        <v>410</v>
      </c>
      <c r="AU444" s="139" t="s">
        <v>86</v>
      </c>
      <c r="AY444" s="18" t="s">
        <v>144</v>
      </c>
      <c r="BE444" s="140">
        <f>IF(N444="základní",J444,0)</f>
        <v>0</v>
      </c>
      <c r="BF444" s="140">
        <f>IF(N444="snížená",J444,0)</f>
        <v>0</v>
      </c>
      <c r="BG444" s="140">
        <f>IF(N444="zákl. přenesená",J444,0)</f>
        <v>0</v>
      </c>
      <c r="BH444" s="140">
        <f>IF(N444="sníž. přenesená",J444,0)</f>
        <v>0</v>
      </c>
      <c r="BI444" s="140">
        <f>IF(N444="nulová",J444,0)</f>
        <v>0</v>
      </c>
      <c r="BJ444" s="18" t="s">
        <v>84</v>
      </c>
      <c r="BK444" s="140">
        <f>ROUND(I444*H444,2)</f>
        <v>0</v>
      </c>
      <c r="BL444" s="18" t="s">
        <v>166</v>
      </c>
      <c r="BM444" s="139" t="s">
        <v>783</v>
      </c>
    </row>
    <row r="445" spans="2:51" s="12" customFormat="1" ht="12">
      <c r="B445" s="152"/>
      <c r="D445" s="145" t="s">
        <v>249</v>
      </c>
      <c r="F445" s="154" t="s">
        <v>784</v>
      </c>
      <c r="H445" s="155">
        <v>5.1</v>
      </c>
      <c r="I445" s="156"/>
      <c r="L445" s="152"/>
      <c r="M445" s="157"/>
      <c r="T445" s="158"/>
      <c r="AT445" s="153" t="s">
        <v>249</v>
      </c>
      <c r="AU445" s="153" t="s">
        <v>86</v>
      </c>
      <c r="AV445" s="12" t="s">
        <v>86</v>
      </c>
      <c r="AW445" s="12" t="s">
        <v>4</v>
      </c>
      <c r="AX445" s="12" t="s">
        <v>84</v>
      </c>
      <c r="AY445" s="153" t="s">
        <v>144</v>
      </c>
    </row>
    <row r="446" spans="2:65" s="1" customFormat="1" ht="23.7" customHeight="1">
      <c r="B446" s="33"/>
      <c r="C446" s="172" t="s">
        <v>785</v>
      </c>
      <c r="D446" s="172" t="s">
        <v>410</v>
      </c>
      <c r="E446" s="173" t="s">
        <v>786</v>
      </c>
      <c r="F446" s="174" t="s">
        <v>787</v>
      </c>
      <c r="G446" s="175" t="s">
        <v>308</v>
      </c>
      <c r="H446" s="176">
        <v>4.08</v>
      </c>
      <c r="I446" s="177"/>
      <c r="J446" s="178">
        <f>ROUND(I446*H446,2)</f>
        <v>0</v>
      </c>
      <c r="K446" s="174" t="s">
        <v>19</v>
      </c>
      <c r="L446" s="179"/>
      <c r="M446" s="180" t="s">
        <v>19</v>
      </c>
      <c r="N446" s="181" t="s">
        <v>47</v>
      </c>
      <c r="P446" s="137">
        <f>O446*H446</f>
        <v>0</v>
      </c>
      <c r="Q446" s="137">
        <v>0.061</v>
      </c>
      <c r="R446" s="137">
        <f>Q446*H446</f>
        <v>0.24888</v>
      </c>
      <c r="S446" s="137">
        <v>0</v>
      </c>
      <c r="T446" s="138">
        <f>S446*H446</f>
        <v>0</v>
      </c>
      <c r="AR446" s="139" t="s">
        <v>189</v>
      </c>
      <c r="AT446" s="139" t="s">
        <v>410</v>
      </c>
      <c r="AU446" s="139" t="s">
        <v>86</v>
      </c>
      <c r="AY446" s="18" t="s">
        <v>144</v>
      </c>
      <c r="BE446" s="140">
        <f>IF(N446="základní",J446,0)</f>
        <v>0</v>
      </c>
      <c r="BF446" s="140">
        <f>IF(N446="snížená",J446,0)</f>
        <v>0</v>
      </c>
      <c r="BG446" s="140">
        <f>IF(N446="zákl. přenesená",J446,0)</f>
        <v>0</v>
      </c>
      <c r="BH446" s="140">
        <f>IF(N446="sníž. přenesená",J446,0)</f>
        <v>0</v>
      </c>
      <c r="BI446" s="140">
        <f>IF(N446="nulová",J446,0)</f>
        <v>0</v>
      </c>
      <c r="BJ446" s="18" t="s">
        <v>84</v>
      </c>
      <c r="BK446" s="140">
        <f>ROUND(I446*H446,2)</f>
        <v>0</v>
      </c>
      <c r="BL446" s="18" t="s">
        <v>166</v>
      </c>
      <c r="BM446" s="139" t="s">
        <v>788</v>
      </c>
    </row>
    <row r="447" spans="2:51" s="12" customFormat="1" ht="12">
      <c r="B447" s="152"/>
      <c r="D447" s="145" t="s">
        <v>249</v>
      </c>
      <c r="F447" s="154" t="s">
        <v>789</v>
      </c>
      <c r="H447" s="155">
        <v>4.08</v>
      </c>
      <c r="I447" s="156"/>
      <c r="L447" s="152"/>
      <c r="M447" s="157"/>
      <c r="T447" s="158"/>
      <c r="AT447" s="153" t="s">
        <v>249</v>
      </c>
      <c r="AU447" s="153" t="s">
        <v>86</v>
      </c>
      <c r="AV447" s="12" t="s">
        <v>86</v>
      </c>
      <c r="AW447" s="12" t="s">
        <v>4</v>
      </c>
      <c r="AX447" s="12" t="s">
        <v>84</v>
      </c>
      <c r="AY447" s="153" t="s">
        <v>144</v>
      </c>
    </row>
    <row r="448" spans="2:65" s="1" customFormat="1" ht="53.25" customHeight="1">
      <c r="B448" s="33"/>
      <c r="C448" s="128" t="s">
        <v>790</v>
      </c>
      <c r="D448" s="128" t="s">
        <v>147</v>
      </c>
      <c r="E448" s="129" t="s">
        <v>791</v>
      </c>
      <c r="F448" s="130" t="s">
        <v>792</v>
      </c>
      <c r="G448" s="131" t="s">
        <v>308</v>
      </c>
      <c r="H448" s="132">
        <v>344</v>
      </c>
      <c r="I448" s="133"/>
      <c r="J448" s="134">
        <f>ROUND(I448*H448,2)</f>
        <v>0</v>
      </c>
      <c r="K448" s="130" t="s">
        <v>151</v>
      </c>
      <c r="L448" s="33"/>
      <c r="M448" s="135" t="s">
        <v>19</v>
      </c>
      <c r="N448" s="136" t="s">
        <v>47</v>
      </c>
      <c r="P448" s="137">
        <f>O448*H448</f>
        <v>0</v>
      </c>
      <c r="Q448" s="137">
        <v>0.12095</v>
      </c>
      <c r="R448" s="137">
        <f>Q448*H448</f>
        <v>41.6068</v>
      </c>
      <c r="S448" s="137">
        <v>0</v>
      </c>
      <c r="T448" s="138">
        <f>S448*H448</f>
        <v>0</v>
      </c>
      <c r="AR448" s="139" t="s">
        <v>166</v>
      </c>
      <c r="AT448" s="139" t="s">
        <v>147</v>
      </c>
      <c r="AU448" s="139" t="s">
        <v>86</v>
      </c>
      <c r="AY448" s="18" t="s">
        <v>144</v>
      </c>
      <c r="BE448" s="140">
        <f>IF(N448="základní",J448,0)</f>
        <v>0</v>
      </c>
      <c r="BF448" s="140">
        <f>IF(N448="snížená",J448,0)</f>
        <v>0</v>
      </c>
      <c r="BG448" s="140">
        <f>IF(N448="zákl. přenesená",J448,0)</f>
        <v>0</v>
      </c>
      <c r="BH448" s="140">
        <f>IF(N448="sníž. přenesená",J448,0)</f>
        <v>0</v>
      </c>
      <c r="BI448" s="140">
        <f>IF(N448="nulová",J448,0)</f>
        <v>0</v>
      </c>
      <c r="BJ448" s="18" t="s">
        <v>84</v>
      </c>
      <c r="BK448" s="140">
        <f>ROUND(I448*H448,2)</f>
        <v>0</v>
      </c>
      <c r="BL448" s="18" t="s">
        <v>166</v>
      </c>
      <c r="BM448" s="139" t="s">
        <v>793</v>
      </c>
    </row>
    <row r="449" spans="2:47" s="1" customFormat="1" ht="12">
      <c r="B449" s="33"/>
      <c r="D449" s="141" t="s">
        <v>154</v>
      </c>
      <c r="F449" s="142" t="s">
        <v>794</v>
      </c>
      <c r="I449" s="143"/>
      <c r="L449" s="33"/>
      <c r="M449" s="144"/>
      <c r="T449" s="54"/>
      <c r="AT449" s="18" t="s">
        <v>154</v>
      </c>
      <c r="AU449" s="18" t="s">
        <v>86</v>
      </c>
    </row>
    <row r="450" spans="2:65" s="1" customFormat="1" ht="15" customHeight="1">
      <c r="B450" s="33"/>
      <c r="C450" s="172" t="s">
        <v>795</v>
      </c>
      <c r="D450" s="172" t="s">
        <v>410</v>
      </c>
      <c r="E450" s="173" t="s">
        <v>796</v>
      </c>
      <c r="F450" s="174" t="s">
        <v>797</v>
      </c>
      <c r="G450" s="175" t="s">
        <v>308</v>
      </c>
      <c r="H450" s="176">
        <v>350.88</v>
      </c>
      <c r="I450" s="177"/>
      <c r="J450" s="178">
        <f>ROUND(I450*H450,2)</f>
        <v>0</v>
      </c>
      <c r="K450" s="174" t="s">
        <v>151</v>
      </c>
      <c r="L450" s="179"/>
      <c r="M450" s="180" t="s">
        <v>19</v>
      </c>
      <c r="N450" s="181" t="s">
        <v>47</v>
      </c>
      <c r="P450" s="137">
        <f>O450*H450</f>
        <v>0</v>
      </c>
      <c r="Q450" s="137">
        <v>0.046</v>
      </c>
      <c r="R450" s="137">
        <f>Q450*H450</f>
        <v>16.14048</v>
      </c>
      <c r="S450" s="137">
        <v>0</v>
      </c>
      <c r="T450" s="138">
        <f>S450*H450</f>
        <v>0</v>
      </c>
      <c r="AR450" s="139" t="s">
        <v>189</v>
      </c>
      <c r="AT450" s="139" t="s">
        <v>410</v>
      </c>
      <c r="AU450" s="139" t="s">
        <v>86</v>
      </c>
      <c r="AY450" s="18" t="s">
        <v>144</v>
      </c>
      <c r="BE450" s="140">
        <f>IF(N450="základní",J450,0)</f>
        <v>0</v>
      </c>
      <c r="BF450" s="140">
        <f>IF(N450="snížená",J450,0)</f>
        <v>0</v>
      </c>
      <c r="BG450" s="140">
        <f>IF(N450="zákl. přenesená",J450,0)</f>
        <v>0</v>
      </c>
      <c r="BH450" s="140">
        <f>IF(N450="sníž. přenesená",J450,0)</f>
        <v>0</v>
      </c>
      <c r="BI450" s="140">
        <f>IF(N450="nulová",J450,0)</f>
        <v>0</v>
      </c>
      <c r="BJ450" s="18" t="s">
        <v>84</v>
      </c>
      <c r="BK450" s="140">
        <f>ROUND(I450*H450,2)</f>
        <v>0</v>
      </c>
      <c r="BL450" s="18" t="s">
        <v>166</v>
      </c>
      <c r="BM450" s="139" t="s">
        <v>798</v>
      </c>
    </row>
    <row r="451" spans="2:51" s="12" customFormat="1" ht="12">
      <c r="B451" s="152"/>
      <c r="D451" s="145" t="s">
        <v>249</v>
      </c>
      <c r="F451" s="154" t="s">
        <v>799</v>
      </c>
      <c r="H451" s="155">
        <v>350.88</v>
      </c>
      <c r="I451" s="156"/>
      <c r="L451" s="152"/>
      <c r="M451" s="157"/>
      <c r="T451" s="158"/>
      <c r="AT451" s="153" t="s">
        <v>249</v>
      </c>
      <c r="AU451" s="153" t="s">
        <v>86</v>
      </c>
      <c r="AV451" s="12" t="s">
        <v>86</v>
      </c>
      <c r="AW451" s="12" t="s">
        <v>4</v>
      </c>
      <c r="AX451" s="12" t="s">
        <v>84</v>
      </c>
      <c r="AY451" s="153" t="s">
        <v>144</v>
      </c>
    </row>
    <row r="452" spans="2:65" s="1" customFormat="1" ht="47.4" customHeight="1">
      <c r="B452" s="33"/>
      <c r="C452" s="128" t="s">
        <v>800</v>
      </c>
      <c r="D452" s="128" t="s">
        <v>147</v>
      </c>
      <c r="E452" s="129" t="s">
        <v>801</v>
      </c>
      <c r="F452" s="130" t="s">
        <v>802</v>
      </c>
      <c r="G452" s="131" t="s">
        <v>308</v>
      </c>
      <c r="H452" s="132">
        <v>7</v>
      </c>
      <c r="I452" s="133"/>
      <c r="J452" s="134">
        <f>ROUND(I452*H452,2)</f>
        <v>0</v>
      </c>
      <c r="K452" s="130" t="s">
        <v>441</v>
      </c>
      <c r="L452" s="33"/>
      <c r="M452" s="135" t="s">
        <v>19</v>
      </c>
      <c r="N452" s="136" t="s">
        <v>47</v>
      </c>
      <c r="P452" s="137">
        <f>O452*H452</f>
        <v>0</v>
      </c>
      <c r="Q452" s="137">
        <v>0.1295</v>
      </c>
      <c r="R452" s="137">
        <f>Q452*H452</f>
        <v>0.9065000000000001</v>
      </c>
      <c r="S452" s="137">
        <v>0</v>
      </c>
      <c r="T452" s="138">
        <f>S452*H452</f>
        <v>0</v>
      </c>
      <c r="AR452" s="139" t="s">
        <v>166</v>
      </c>
      <c r="AT452" s="139" t="s">
        <v>147</v>
      </c>
      <c r="AU452" s="139" t="s">
        <v>86</v>
      </c>
      <c r="AY452" s="18" t="s">
        <v>144</v>
      </c>
      <c r="BE452" s="140">
        <f>IF(N452="základní",J452,0)</f>
        <v>0</v>
      </c>
      <c r="BF452" s="140">
        <f>IF(N452="snížená",J452,0)</f>
        <v>0</v>
      </c>
      <c r="BG452" s="140">
        <f>IF(N452="zákl. přenesená",J452,0)</f>
        <v>0</v>
      </c>
      <c r="BH452" s="140">
        <f>IF(N452="sníž. přenesená",J452,0)</f>
        <v>0</v>
      </c>
      <c r="BI452" s="140">
        <f>IF(N452="nulová",J452,0)</f>
        <v>0</v>
      </c>
      <c r="BJ452" s="18" t="s">
        <v>84</v>
      </c>
      <c r="BK452" s="140">
        <f>ROUND(I452*H452,2)</f>
        <v>0</v>
      </c>
      <c r="BL452" s="18" t="s">
        <v>166</v>
      </c>
      <c r="BM452" s="139" t="s">
        <v>803</v>
      </c>
    </row>
    <row r="453" spans="2:47" s="1" customFormat="1" ht="12">
      <c r="B453" s="33"/>
      <c r="D453" s="141" t="s">
        <v>154</v>
      </c>
      <c r="F453" s="142" t="s">
        <v>804</v>
      </c>
      <c r="I453" s="143"/>
      <c r="L453" s="33"/>
      <c r="M453" s="144"/>
      <c r="T453" s="54"/>
      <c r="AT453" s="18" t="s">
        <v>154</v>
      </c>
      <c r="AU453" s="18" t="s">
        <v>86</v>
      </c>
    </row>
    <row r="454" spans="2:51" s="12" customFormat="1" ht="12">
      <c r="B454" s="152"/>
      <c r="D454" s="145" t="s">
        <v>249</v>
      </c>
      <c r="E454" s="153" t="s">
        <v>19</v>
      </c>
      <c r="F454" s="154" t="s">
        <v>805</v>
      </c>
      <c r="H454" s="155">
        <v>7</v>
      </c>
      <c r="I454" s="156"/>
      <c r="L454" s="152"/>
      <c r="M454" s="157"/>
      <c r="T454" s="158"/>
      <c r="AT454" s="153" t="s">
        <v>249</v>
      </c>
      <c r="AU454" s="153" t="s">
        <v>86</v>
      </c>
      <c r="AV454" s="12" t="s">
        <v>86</v>
      </c>
      <c r="AW454" s="12" t="s">
        <v>37</v>
      </c>
      <c r="AX454" s="12" t="s">
        <v>76</v>
      </c>
      <c r="AY454" s="153" t="s">
        <v>144</v>
      </c>
    </row>
    <row r="455" spans="2:51" s="13" customFormat="1" ht="12">
      <c r="B455" s="159"/>
      <c r="D455" s="145" t="s">
        <v>249</v>
      </c>
      <c r="E455" s="160" t="s">
        <v>19</v>
      </c>
      <c r="F455" s="161" t="s">
        <v>251</v>
      </c>
      <c r="H455" s="162">
        <v>7</v>
      </c>
      <c r="I455" s="163"/>
      <c r="L455" s="159"/>
      <c r="M455" s="164"/>
      <c r="T455" s="165"/>
      <c r="AT455" s="160" t="s">
        <v>249</v>
      </c>
      <c r="AU455" s="160" t="s">
        <v>86</v>
      </c>
      <c r="AV455" s="13" t="s">
        <v>166</v>
      </c>
      <c r="AW455" s="13" t="s">
        <v>37</v>
      </c>
      <c r="AX455" s="13" t="s">
        <v>84</v>
      </c>
      <c r="AY455" s="160" t="s">
        <v>144</v>
      </c>
    </row>
    <row r="456" spans="2:65" s="1" customFormat="1" ht="15" customHeight="1">
      <c r="B456" s="33"/>
      <c r="C456" s="172" t="s">
        <v>806</v>
      </c>
      <c r="D456" s="172" t="s">
        <v>410</v>
      </c>
      <c r="E456" s="173" t="s">
        <v>807</v>
      </c>
      <c r="F456" s="174" t="s">
        <v>808</v>
      </c>
      <c r="G456" s="175" t="s">
        <v>308</v>
      </c>
      <c r="H456" s="176">
        <v>7.14</v>
      </c>
      <c r="I456" s="177"/>
      <c r="J456" s="178">
        <f>ROUND(I456*H456,2)</f>
        <v>0</v>
      </c>
      <c r="K456" s="174" t="s">
        <v>151</v>
      </c>
      <c r="L456" s="179"/>
      <c r="M456" s="180" t="s">
        <v>19</v>
      </c>
      <c r="N456" s="181" t="s">
        <v>47</v>
      </c>
      <c r="P456" s="137">
        <f>O456*H456</f>
        <v>0</v>
      </c>
      <c r="Q456" s="137">
        <v>0.046</v>
      </c>
      <c r="R456" s="137">
        <f>Q456*H456</f>
        <v>0.32843999999999995</v>
      </c>
      <c r="S456" s="137">
        <v>0</v>
      </c>
      <c r="T456" s="138">
        <f>S456*H456</f>
        <v>0</v>
      </c>
      <c r="AR456" s="139" t="s">
        <v>189</v>
      </c>
      <c r="AT456" s="139" t="s">
        <v>410</v>
      </c>
      <c r="AU456" s="139" t="s">
        <v>86</v>
      </c>
      <c r="AY456" s="18" t="s">
        <v>144</v>
      </c>
      <c r="BE456" s="140">
        <f>IF(N456="základní",J456,0)</f>
        <v>0</v>
      </c>
      <c r="BF456" s="140">
        <f>IF(N456="snížená",J456,0)</f>
        <v>0</v>
      </c>
      <c r="BG456" s="140">
        <f>IF(N456="zákl. přenesená",J456,0)</f>
        <v>0</v>
      </c>
      <c r="BH456" s="140">
        <f>IF(N456="sníž. přenesená",J456,0)</f>
        <v>0</v>
      </c>
      <c r="BI456" s="140">
        <f>IF(N456="nulová",J456,0)</f>
        <v>0</v>
      </c>
      <c r="BJ456" s="18" t="s">
        <v>84</v>
      </c>
      <c r="BK456" s="140">
        <f>ROUND(I456*H456,2)</f>
        <v>0</v>
      </c>
      <c r="BL456" s="18" t="s">
        <v>166</v>
      </c>
      <c r="BM456" s="139" t="s">
        <v>809</v>
      </c>
    </row>
    <row r="457" spans="2:51" s="12" customFormat="1" ht="12">
      <c r="B457" s="152"/>
      <c r="D457" s="145" t="s">
        <v>249</v>
      </c>
      <c r="F457" s="154" t="s">
        <v>810</v>
      </c>
      <c r="H457" s="155">
        <v>7.14</v>
      </c>
      <c r="I457" s="156"/>
      <c r="L457" s="152"/>
      <c r="M457" s="157"/>
      <c r="T457" s="158"/>
      <c r="AT457" s="153" t="s">
        <v>249</v>
      </c>
      <c r="AU457" s="153" t="s">
        <v>86</v>
      </c>
      <c r="AV457" s="12" t="s">
        <v>86</v>
      </c>
      <c r="AW457" s="12" t="s">
        <v>4</v>
      </c>
      <c r="AX457" s="12" t="s">
        <v>84</v>
      </c>
      <c r="AY457" s="153" t="s">
        <v>144</v>
      </c>
    </row>
    <row r="458" spans="2:65" s="1" customFormat="1" ht="60.45" customHeight="1">
      <c r="B458" s="33"/>
      <c r="C458" s="128" t="s">
        <v>811</v>
      </c>
      <c r="D458" s="128" t="s">
        <v>147</v>
      </c>
      <c r="E458" s="129" t="s">
        <v>812</v>
      </c>
      <c r="F458" s="130" t="s">
        <v>813</v>
      </c>
      <c r="G458" s="131" t="s">
        <v>246</v>
      </c>
      <c r="H458" s="132">
        <v>1150.8</v>
      </c>
      <c r="I458" s="133"/>
      <c r="J458" s="134">
        <f>ROUND(I458*H458,2)</f>
        <v>0</v>
      </c>
      <c r="K458" s="130" t="s">
        <v>19</v>
      </c>
      <c r="L458" s="33"/>
      <c r="M458" s="135" t="s">
        <v>19</v>
      </c>
      <c r="N458" s="136" t="s">
        <v>47</v>
      </c>
      <c r="P458" s="137">
        <f>O458*H458</f>
        <v>0</v>
      </c>
      <c r="Q458" s="137">
        <v>0</v>
      </c>
      <c r="R458" s="137">
        <f>Q458*H458</f>
        <v>0</v>
      </c>
      <c r="S458" s="137">
        <v>0</v>
      </c>
      <c r="T458" s="138">
        <f>S458*H458</f>
        <v>0</v>
      </c>
      <c r="AR458" s="139" t="s">
        <v>166</v>
      </c>
      <c r="AT458" s="139" t="s">
        <v>147</v>
      </c>
      <c r="AU458" s="139" t="s">
        <v>86</v>
      </c>
      <c r="AY458" s="18" t="s">
        <v>144</v>
      </c>
      <c r="BE458" s="140">
        <f>IF(N458="základní",J458,0)</f>
        <v>0</v>
      </c>
      <c r="BF458" s="140">
        <f>IF(N458="snížená",J458,0)</f>
        <v>0</v>
      </c>
      <c r="BG458" s="140">
        <f>IF(N458="zákl. přenesená",J458,0)</f>
        <v>0</v>
      </c>
      <c r="BH458" s="140">
        <f>IF(N458="sníž. přenesená",J458,0)</f>
        <v>0</v>
      </c>
      <c r="BI458" s="140">
        <f>IF(N458="nulová",J458,0)</f>
        <v>0</v>
      </c>
      <c r="BJ458" s="18" t="s">
        <v>84</v>
      </c>
      <c r="BK458" s="140">
        <f>ROUND(I458*H458,2)</f>
        <v>0</v>
      </c>
      <c r="BL458" s="18" t="s">
        <v>166</v>
      </c>
      <c r="BM458" s="139" t="s">
        <v>814</v>
      </c>
    </row>
    <row r="459" spans="2:51" s="12" customFormat="1" ht="12">
      <c r="B459" s="152"/>
      <c r="D459" s="145" t="s">
        <v>249</v>
      </c>
      <c r="E459" s="153" t="s">
        <v>19</v>
      </c>
      <c r="F459" s="154" t="s">
        <v>544</v>
      </c>
      <c r="H459" s="155">
        <v>435</v>
      </c>
      <c r="I459" s="156"/>
      <c r="L459" s="152"/>
      <c r="M459" s="157"/>
      <c r="T459" s="158"/>
      <c r="AT459" s="153" t="s">
        <v>249</v>
      </c>
      <c r="AU459" s="153" t="s">
        <v>86</v>
      </c>
      <c r="AV459" s="12" t="s">
        <v>86</v>
      </c>
      <c r="AW459" s="12" t="s">
        <v>37</v>
      </c>
      <c r="AX459" s="12" t="s">
        <v>76</v>
      </c>
      <c r="AY459" s="153" t="s">
        <v>144</v>
      </c>
    </row>
    <row r="460" spans="2:51" s="12" customFormat="1" ht="12">
      <c r="B460" s="152"/>
      <c r="D460" s="145" t="s">
        <v>249</v>
      </c>
      <c r="E460" s="153" t="s">
        <v>19</v>
      </c>
      <c r="F460" s="154" t="s">
        <v>480</v>
      </c>
      <c r="H460" s="155">
        <v>661</v>
      </c>
      <c r="I460" s="156"/>
      <c r="L460" s="152"/>
      <c r="M460" s="157"/>
      <c r="T460" s="158"/>
      <c r="AT460" s="153" t="s">
        <v>249</v>
      </c>
      <c r="AU460" s="153" t="s">
        <v>86</v>
      </c>
      <c r="AV460" s="12" t="s">
        <v>86</v>
      </c>
      <c r="AW460" s="12" t="s">
        <v>37</v>
      </c>
      <c r="AX460" s="12" t="s">
        <v>76</v>
      </c>
      <c r="AY460" s="153" t="s">
        <v>144</v>
      </c>
    </row>
    <row r="461" spans="2:51" s="13" customFormat="1" ht="12">
      <c r="B461" s="159"/>
      <c r="D461" s="145" t="s">
        <v>249</v>
      </c>
      <c r="E461" s="160" t="s">
        <v>19</v>
      </c>
      <c r="F461" s="161" t="s">
        <v>251</v>
      </c>
      <c r="H461" s="162">
        <v>1096</v>
      </c>
      <c r="I461" s="163"/>
      <c r="L461" s="159"/>
      <c r="M461" s="164"/>
      <c r="T461" s="165"/>
      <c r="AT461" s="160" t="s">
        <v>249</v>
      </c>
      <c r="AU461" s="160" t="s">
        <v>86</v>
      </c>
      <c r="AV461" s="13" t="s">
        <v>166</v>
      </c>
      <c r="AW461" s="13" t="s">
        <v>37</v>
      </c>
      <c r="AX461" s="13" t="s">
        <v>84</v>
      </c>
      <c r="AY461" s="160" t="s">
        <v>144</v>
      </c>
    </row>
    <row r="462" spans="2:51" s="12" customFormat="1" ht="12">
      <c r="B462" s="152"/>
      <c r="D462" s="145" t="s">
        <v>249</v>
      </c>
      <c r="F462" s="154" t="s">
        <v>815</v>
      </c>
      <c r="H462" s="155">
        <v>1150.8</v>
      </c>
      <c r="I462" s="156"/>
      <c r="L462" s="152"/>
      <c r="M462" s="157"/>
      <c r="T462" s="158"/>
      <c r="AT462" s="153" t="s">
        <v>249</v>
      </c>
      <c r="AU462" s="153" t="s">
        <v>86</v>
      </c>
      <c r="AV462" s="12" t="s">
        <v>86</v>
      </c>
      <c r="AW462" s="12" t="s">
        <v>4</v>
      </c>
      <c r="AX462" s="12" t="s">
        <v>84</v>
      </c>
      <c r="AY462" s="153" t="s">
        <v>144</v>
      </c>
    </row>
    <row r="463" spans="2:65" s="1" customFormat="1" ht="53.25" customHeight="1">
      <c r="B463" s="33"/>
      <c r="C463" s="128" t="s">
        <v>816</v>
      </c>
      <c r="D463" s="128" t="s">
        <v>147</v>
      </c>
      <c r="E463" s="129" t="s">
        <v>817</v>
      </c>
      <c r="F463" s="130" t="s">
        <v>818</v>
      </c>
      <c r="G463" s="131" t="s">
        <v>308</v>
      </c>
      <c r="H463" s="132">
        <v>250</v>
      </c>
      <c r="I463" s="133"/>
      <c r="J463" s="134">
        <f>ROUND(I463*H463,2)</f>
        <v>0</v>
      </c>
      <c r="K463" s="130" t="s">
        <v>441</v>
      </c>
      <c r="L463" s="33"/>
      <c r="M463" s="135" t="s">
        <v>19</v>
      </c>
      <c r="N463" s="136" t="s">
        <v>47</v>
      </c>
      <c r="P463" s="137">
        <f>O463*H463</f>
        <v>0</v>
      </c>
      <c r="Q463" s="137">
        <v>0.00061</v>
      </c>
      <c r="R463" s="137">
        <f>Q463*H463</f>
        <v>0.1525</v>
      </c>
      <c r="S463" s="137">
        <v>0</v>
      </c>
      <c r="T463" s="138">
        <f>S463*H463</f>
        <v>0</v>
      </c>
      <c r="AR463" s="139" t="s">
        <v>166</v>
      </c>
      <c r="AT463" s="139" t="s">
        <v>147</v>
      </c>
      <c r="AU463" s="139" t="s">
        <v>86</v>
      </c>
      <c r="AY463" s="18" t="s">
        <v>144</v>
      </c>
      <c r="BE463" s="140">
        <f>IF(N463="základní",J463,0)</f>
        <v>0</v>
      </c>
      <c r="BF463" s="140">
        <f>IF(N463="snížená",J463,0)</f>
        <v>0</v>
      </c>
      <c r="BG463" s="140">
        <f>IF(N463="zákl. přenesená",J463,0)</f>
        <v>0</v>
      </c>
      <c r="BH463" s="140">
        <f>IF(N463="sníž. přenesená",J463,0)</f>
        <v>0</v>
      </c>
      <c r="BI463" s="140">
        <f>IF(N463="nulová",J463,0)</f>
        <v>0</v>
      </c>
      <c r="BJ463" s="18" t="s">
        <v>84</v>
      </c>
      <c r="BK463" s="140">
        <f>ROUND(I463*H463,2)</f>
        <v>0</v>
      </c>
      <c r="BL463" s="18" t="s">
        <v>166</v>
      </c>
      <c r="BM463" s="139" t="s">
        <v>819</v>
      </c>
    </row>
    <row r="464" spans="2:47" s="1" customFormat="1" ht="12">
      <c r="B464" s="33"/>
      <c r="D464" s="141" t="s">
        <v>154</v>
      </c>
      <c r="F464" s="142" t="s">
        <v>820</v>
      </c>
      <c r="I464" s="143"/>
      <c r="L464" s="33"/>
      <c r="M464" s="144"/>
      <c r="T464" s="54"/>
      <c r="AT464" s="18" t="s">
        <v>154</v>
      </c>
      <c r="AU464" s="18" t="s">
        <v>86</v>
      </c>
    </row>
    <row r="465" spans="2:65" s="1" customFormat="1" ht="23.7" customHeight="1">
      <c r="B465" s="33"/>
      <c r="C465" s="128" t="s">
        <v>821</v>
      </c>
      <c r="D465" s="128" t="s">
        <v>147</v>
      </c>
      <c r="E465" s="129" t="s">
        <v>822</v>
      </c>
      <c r="F465" s="130" t="s">
        <v>823</v>
      </c>
      <c r="G465" s="131" t="s">
        <v>308</v>
      </c>
      <c r="H465" s="132">
        <v>250</v>
      </c>
      <c r="I465" s="133"/>
      <c r="J465" s="134">
        <f>ROUND(I465*H465,2)</f>
        <v>0</v>
      </c>
      <c r="K465" s="130" t="s">
        <v>441</v>
      </c>
      <c r="L465" s="33"/>
      <c r="M465" s="135" t="s">
        <v>19</v>
      </c>
      <c r="N465" s="136" t="s">
        <v>47</v>
      </c>
      <c r="P465" s="137">
        <f>O465*H465</f>
        <v>0</v>
      </c>
      <c r="Q465" s="137">
        <v>0</v>
      </c>
      <c r="R465" s="137">
        <f>Q465*H465</f>
        <v>0</v>
      </c>
      <c r="S465" s="137">
        <v>0</v>
      </c>
      <c r="T465" s="138">
        <f>S465*H465</f>
        <v>0</v>
      </c>
      <c r="AR465" s="139" t="s">
        <v>166</v>
      </c>
      <c r="AT465" s="139" t="s">
        <v>147</v>
      </c>
      <c r="AU465" s="139" t="s">
        <v>86</v>
      </c>
      <c r="AY465" s="18" t="s">
        <v>144</v>
      </c>
      <c r="BE465" s="140">
        <f>IF(N465="základní",J465,0)</f>
        <v>0</v>
      </c>
      <c r="BF465" s="140">
        <f>IF(N465="snížená",J465,0)</f>
        <v>0</v>
      </c>
      <c r="BG465" s="140">
        <f>IF(N465="zákl. přenesená",J465,0)</f>
        <v>0</v>
      </c>
      <c r="BH465" s="140">
        <f>IF(N465="sníž. přenesená",J465,0)</f>
        <v>0</v>
      </c>
      <c r="BI465" s="140">
        <f>IF(N465="nulová",J465,0)</f>
        <v>0</v>
      </c>
      <c r="BJ465" s="18" t="s">
        <v>84</v>
      </c>
      <c r="BK465" s="140">
        <f>ROUND(I465*H465,2)</f>
        <v>0</v>
      </c>
      <c r="BL465" s="18" t="s">
        <v>166</v>
      </c>
      <c r="BM465" s="139" t="s">
        <v>824</v>
      </c>
    </row>
    <row r="466" spans="2:47" s="1" customFormat="1" ht="12">
      <c r="B466" s="33"/>
      <c r="D466" s="141" t="s">
        <v>154</v>
      </c>
      <c r="F466" s="142" t="s">
        <v>825</v>
      </c>
      <c r="I466" s="143"/>
      <c r="L466" s="33"/>
      <c r="M466" s="144"/>
      <c r="T466" s="54"/>
      <c r="AT466" s="18" t="s">
        <v>154</v>
      </c>
      <c r="AU466" s="18" t="s">
        <v>86</v>
      </c>
    </row>
    <row r="467" spans="2:65" s="1" customFormat="1" ht="53.25" customHeight="1">
      <c r="B467" s="33"/>
      <c r="C467" s="128" t="s">
        <v>826</v>
      </c>
      <c r="D467" s="128" t="s">
        <v>147</v>
      </c>
      <c r="E467" s="129" t="s">
        <v>827</v>
      </c>
      <c r="F467" s="130" t="s">
        <v>828</v>
      </c>
      <c r="G467" s="131" t="s">
        <v>308</v>
      </c>
      <c r="H467" s="132">
        <v>54</v>
      </c>
      <c r="I467" s="133"/>
      <c r="J467" s="134">
        <f>ROUND(I467*H467,2)</f>
        <v>0</v>
      </c>
      <c r="K467" s="130" t="s">
        <v>151</v>
      </c>
      <c r="L467" s="33"/>
      <c r="M467" s="135" t="s">
        <v>19</v>
      </c>
      <c r="N467" s="136" t="s">
        <v>47</v>
      </c>
      <c r="P467" s="137">
        <f>O467*H467</f>
        <v>0</v>
      </c>
      <c r="Q467" s="137">
        <v>0.16371</v>
      </c>
      <c r="R467" s="137">
        <f>Q467*H467</f>
        <v>8.84034</v>
      </c>
      <c r="S467" s="137">
        <v>0</v>
      </c>
      <c r="T467" s="138">
        <f>S467*H467</f>
        <v>0</v>
      </c>
      <c r="AR467" s="139" t="s">
        <v>166</v>
      </c>
      <c r="AT467" s="139" t="s">
        <v>147</v>
      </c>
      <c r="AU467" s="139" t="s">
        <v>86</v>
      </c>
      <c r="AY467" s="18" t="s">
        <v>144</v>
      </c>
      <c r="BE467" s="140">
        <f>IF(N467="základní",J467,0)</f>
        <v>0</v>
      </c>
      <c r="BF467" s="140">
        <f>IF(N467="snížená",J467,0)</f>
        <v>0</v>
      </c>
      <c r="BG467" s="140">
        <f>IF(N467="zákl. přenesená",J467,0)</f>
        <v>0</v>
      </c>
      <c r="BH467" s="140">
        <f>IF(N467="sníž. přenesená",J467,0)</f>
        <v>0</v>
      </c>
      <c r="BI467" s="140">
        <f>IF(N467="nulová",J467,0)</f>
        <v>0</v>
      </c>
      <c r="BJ467" s="18" t="s">
        <v>84</v>
      </c>
      <c r="BK467" s="140">
        <f>ROUND(I467*H467,2)</f>
        <v>0</v>
      </c>
      <c r="BL467" s="18" t="s">
        <v>166</v>
      </c>
      <c r="BM467" s="139" t="s">
        <v>829</v>
      </c>
    </row>
    <row r="468" spans="2:47" s="1" customFormat="1" ht="12">
      <c r="B468" s="33"/>
      <c r="D468" s="141" t="s">
        <v>154</v>
      </c>
      <c r="F468" s="142" t="s">
        <v>830</v>
      </c>
      <c r="I468" s="143"/>
      <c r="L468" s="33"/>
      <c r="M468" s="144"/>
      <c r="T468" s="54"/>
      <c r="AT468" s="18" t="s">
        <v>154</v>
      </c>
      <c r="AU468" s="18" t="s">
        <v>86</v>
      </c>
    </row>
    <row r="469" spans="2:65" s="1" customFormat="1" ht="15" customHeight="1">
      <c r="B469" s="33"/>
      <c r="C469" s="172" t="s">
        <v>831</v>
      </c>
      <c r="D469" s="172" t="s">
        <v>410</v>
      </c>
      <c r="E469" s="173" t="s">
        <v>832</v>
      </c>
      <c r="F469" s="174" t="s">
        <v>833</v>
      </c>
      <c r="G469" s="175" t="s">
        <v>308</v>
      </c>
      <c r="H469" s="176">
        <v>55.08</v>
      </c>
      <c r="I469" s="177"/>
      <c r="J469" s="178">
        <f>ROUND(I469*H469,2)</f>
        <v>0</v>
      </c>
      <c r="K469" s="174" t="s">
        <v>151</v>
      </c>
      <c r="L469" s="179"/>
      <c r="M469" s="180" t="s">
        <v>19</v>
      </c>
      <c r="N469" s="181" t="s">
        <v>47</v>
      </c>
      <c r="P469" s="137">
        <f>O469*H469</f>
        <v>0</v>
      </c>
      <c r="Q469" s="137">
        <v>0.134</v>
      </c>
      <c r="R469" s="137">
        <f>Q469*H469</f>
        <v>7.38072</v>
      </c>
      <c r="S469" s="137">
        <v>0</v>
      </c>
      <c r="T469" s="138">
        <f>S469*H469</f>
        <v>0</v>
      </c>
      <c r="AR469" s="139" t="s">
        <v>189</v>
      </c>
      <c r="AT469" s="139" t="s">
        <v>410</v>
      </c>
      <c r="AU469" s="139" t="s">
        <v>86</v>
      </c>
      <c r="AY469" s="18" t="s">
        <v>144</v>
      </c>
      <c r="BE469" s="140">
        <f>IF(N469="základní",J469,0)</f>
        <v>0</v>
      </c>
      <c r="BF469" s="140">
        <f>IF(N469="snížená",J469,0)</f>
        <v>0</v>
      </c>
      <c r="BG469" s="140">
        <f>IF(N469="zákl. přenesená",J469,0)</f>
        <v>0</v>
      </c>
      <c r="BH469" s="140">
        <f>IF(N469="sníž. přenesená",J469,0)</f>
        <v>0</v>
      </c>
      <c r="BI469" s="140">
        <f>IF(N469="nulová",J469,0)</f>
        <v>0</v>
      </c>
      <c r="BJ469" s="18" t="s">
        <v>84</v>
      </c>
      <c r="BK469" s="140">
        <f>ROUND(I469*H469,2)</f>
        <v>0</v>
      </c>
      <c r="BL469" s="18" t="s">
        <v>166</v>
      </c>
      <c r="BM469" s="139" t="s">
        <v>834</v>
      </c>
    </row>
    <row r="470" spans="2:51" s="12" customFormat="1" ht="12">
      <c r="B470" s="152"/>
      <c r="D470" s="145" t="s">
        <v>249</v>
      </c>
      <c r="F470" s="154" t="s">
        <v>835</v>
      </c>
      <c r="H470" s="155">
        <v>55.08</v>
      </c>
      <c r="I470" s="156"/>
      <c r="L470" s="152"/>
      <c r="M470" s="157"/>
      <c r="T470" s="158"/>
      <c r="AT470" s="153" t="s">
        <v>249</v>
      </c>
      <c r="AU470" s="153" t="s">
        <v>86</v>
      </c>
      <c r="AV470" s="12" t="s">
        <v>86</v>
      </c>
      <c r="AW470" s="12" t="s">
        <v>4</v>
      </c>
      <c r="AX470" s="12" t="s">
        <v>84</v>
      </c>
      <c r="AY470" s="153" t="s">
        <v>144</v>
      </c>
    </row>
    <row r="471" spans="2:65" s="1" customFormat="1" ht="15" customHeight="1">
      <c r="B471" s="33"/>
      <c r="C471" s="128" t="s">
        <v>836</v>
      </c>
      <c r="D471" s="128" t="s">
        <v>147</v>
      </c>
      <c r="E471" s="129" t="s">
        <v>837</v>
      </c>
      <c r="F471" s="130" t="s">
        <v>838</v>
      </c>
      <c r="G471" s="131" t="s">
        <v>324</v>
      </c>
      <c r="H471" s="132">
        <v>15</v>
      </c>
      <c r="I471" s="133"/>
      <c r="J471" s="134">
        <f>ROUND(I471*H471,2)</f>
        <v>0</v>
      </c>
      <c r="K471" s="130" t="s">
        <v>151</v>
      </c>
      <c r="L471" s="33"/>
      <c r="M471" s="135" t="s">
        <v>19</v>
      </c>
      <c r="N471" s="136" t="s">
        <v>47</v>
      </c>
      <c r="P471" s="137">
        <f>O471*H471</f>
        <v>0</v>
      </c>
      <c r="Q471" s="137">
        <v>0</v>
      </c>
      <c r="R471" s="137">
        <f>Q471*H471</f>
        <v>0</v>
      </c>
      <c r="S471" s="137">
        <v>2</v>
      </c>
      <c r="T471" s="138">
        <f>S471*H471</f>
        <v>30</v>
      </c>
      <c r="AR471" s="139" t="s">
        <v>166</v>
      </c>
      <c r="AT471" s="139" t="s">
        <v>147</v>
      </c>
      <c r="AU471" s="139" t="s">
        <v>86</v>
      </c>
      <c r="AY471" s="18" t="s">
        <v>144</v>
      </c>
      <c r="BE471" s="140">
        <f>IF(N471="základní",J471,0)</f>
        <v>0</v>
      </c>
      <c r="BF471" s="140">
        <f>IF(N471="snížená",J471,0)</f>
        <v>0</v>
      </c>
      <c r="BG471" s="140">
        <f>IF(N471="zákl. přenesená",J471,0)</f>
        <v>0</v>
      </c>
      <c r="BH471" s="140">
        <f>IF(N471="sníž. přenesená",J471,0)</f>
        <v>0</v>
      </c>
      <c r="BI471" s="140">
        <f>IF(N471="nulová",J471,0)</f>
        <v>0</v>
      </c>
      <c r="BJ471" s="18" t="s">
        <v>84</v>
      </c>
      <c r="BK471" s="140">
        <f>ROUND(I471*H471,2)</f>
        <v>0</v>
      </c>
      <c r="BL471" s="18" t="s">
        <v>166</v>
      </c>
      <c r="BM471" s="139" t="s">
        <v>839</v>
      </c>
    </row>
    <row r="472" spans="2:47" s="1" customFormat="1" ht="12">
      <c r="B472" s="33"/>
      <c r="D472" s="141" t="s">
        <v>154</v>
      </c>
      <c r="F472" s="142" t="s">
        <v>840</v>
      </c>
      <c r="I472" s="143"/>
      <c r="L472" s="33"/>
      <c r="M472" s="144"/>
      <c r="T472" s="54"/>
      <c r="AT472" s="18" t="s">
        <v>154</v>
      </c>
      <c r="AU472" s="18" t="s">
        <v>86</v>
      </c>
    </row>
    <row r="473" spans="2:51" s="12" customFormat="1" ht="12">
      <c r="B473" s="152"/>
      <c r="D473" s="145" t="s">
        <v>249</v>
      </c>
      <c r="E473" s="153" t="s">
        <v>19</v>
      </c>
      <c r="F473" s="154" t="s">
        <v>841</v>
      </c>
      <c r="H473" s="155">
        <v>15</v>
      </c>
      <c r="I473" s="156"/>
      <c r="L473" s="152"/>
      <c r="M473" s="157"/>
      <c r="T473" s="158"/>
      <c r="AT473" s="153" t="s">
        <v>249</v>
      </c>
      <c r="AU473" s="153" t="s">
        <v>86</v>
      </c>
      <c r="AV473" s="12" t="s">
        <v>86</v>
      </c>
      <c r="AW473" s="12" t="s">
        <v>37</v>
      </c>
      <c r="AX473" s="12" t="s">
        <v>76</v>
      </c>
      <c r="AY473" s="153" t="s">
        <v>144</v>
      </c>
    </row>
    <row r="474" spans="2:51" s="13" customFormat="1" ht="12">
      <c r="B474" s="159"/>
      <c r="D474" s="145" t="s">
        <v>249</v>
      </c>
      <c r="E474" s="160" t="s">
        <v>19</v>
      </c>
      <c r="F474" s="161" t="s">
        <v>251</v>
      </c>
      <c r="H474" s="162">
        <v>15</v>
      </c>
      <c r="I474" s="163"/>
      <c r="L474" s="159"/>
      <c r="M474" s="164"/>
      <c r="T474" s="165"/>
      <c r="AT474" s="160" t="s">
        <v>249</v>
      </c>
      <c r="AU474" s="160" t="s">
        <v>86</v>
      </c>
      <c r="AV474" s="13" t="s">
        <v>166</v>
      </c>
      <c r="AW474" s="13" t="s">
        <v>37</v>
      </c>
      <c r="AX474" s="13" t="s">
        <v>84</v>
      </c>
      <c r="AY474" s="160" t="s">
        <v>144</v>
      </c>
    </row>
    <row r="475" spans="2:65" s="1" customFormat="1" ht="15" customHeight="1">
      <c r="B475" s="33"/>
      <c r="C475" s="128" t="s">
        <v>842</v>
      </c>
      <c r="D475" s="128" t="s">
        <v>147</v>
      </c>
      <c r="E475" s="129" t="s">
        <v>843</v>
      </c>
      <c r="F475" s="130" t="s">
        <v>844</v>
      </c>
      <c r="G475" s="131" t="s">
        <v>324</v>
      </c>
      <c r="H475" s="132">
        <v>6</v>
      </c>
      <c r="I475" s="133"/>
      <c r="J475" s="134">
        <f>ROUND(I475*H475,2)</f>
        <v>0</v>
      </c>
      <c r="K475" s="130" t="s">
        <v>151</v>
      </c>
      <c r="L475" s="33"/>
      <c r="M475" s="135" t="s">
        <v>19</v>
      </c>
      <c r="N475" s="136" t="s">
        <v>47</v>
      </c>
      <c r="P475" s="137">
        <f>O475*H475</f>
        <v>0</v>
      </c>
      <c r="Q475" s="137">
        <v>0</v>
      </c>
      <c r="R475" s="137">
        <f>Q475*H475</f>
        <v>0</v>
      </c>
      <c r="S475" s="137">
        <v>2.4</v>
      </c>
      <c r="T475" s="138">
        <f>S475*H475</f>
        <v>14.399999999999999</v>
      </c>
      <c r="AR475" s="139" t="s">
        <v>166</v>
      </c>
      <c r="AT475" s="139" t="s">
        <v>147</v>
      </c>
      <c r="AU475" s="139" t="s">
        <v>86</v>
      </c>
      <c r="AY475" s="18" t="s">
        <v>144</v>
      </c>
      <c r="BE475" s="140">
        <f>IF(N475="základní",J475,0)</f>
        <v>0</v>
      </c>
      <c r="BF475" s="140">
        <f>IF(N475="snížená",J475,0)</f>
        <v>0</v>
      </c>
      <c r="BG475" s="140">
        <f>IF(N475="zákl. přenesená",J475,0)</f>
        <v>0</v>
      </c>
      <c r="BH475" s="140">
        <f>IF(N475="sníž. přenesená",J475,0)</f>
        <v>0</v>
      </c>
      <c r="BI475" s="140">
        <f>IF(N475="nulová",J475,0)</f>
        <v>0</v>
      </c>
      <c r="BJ475" s="18" t="s">
        <v>84</v>
      </c>
      <c r="BK475" s="140">
        <f>ROUND(I475*H475,2)</f>
        <v>0</v>
      </c>
      <c r="BL475" s="18" t="s">
        <v>166</v>
      </c>
      <c r="BM475" s="139" t="s">
        <v>845</v>
      </c>
    </row>
    <row r="476" spans="2:47" s="1" customFormat="1" ht="12">
      <c r="B476" s="33"/>
      <c r="D476" s="141" t="s">
        <v>154</v>
      </c>
      <c r="F476" s="142" t="s">
        <v>846</v>
      </c>
      <c r="I476" s="143"/>
      <c r="L476" s="33"/>
      <c r="M476" s="144"/>
      <c r="T476" s="54"/>
      <c r="AT476" s="18" t="s">
        <v>154</v>
      </c>
      <c r="AU476" s="18" t="s">
        <v>86</v>
      </c>
    </row>
    <row r="477" spans="2:51" s="12" customFormat="1" ht="20.4">
      <c r="B477" s="152"/>
      <c r="D477" s="145" t="s">
        <v>249</v>
      </c>
      <c r="E477" s="153" t="s">
        <v>19</v>
      </c>
      <c r="F477" s="154" t="s">
        <v>847</v>
      </c>
      <c r="H477" s="155">
        <v>6</v>
      </c>
      <c r="I477" s="156"/>
      <c r="L477" s="152"/>
      <c r="M477" s="157"/>
      <c r="T477" s="158"/>
      <c r="AT477" s="153" t="s">
        <v>249</v>
      </c>
      <c r="AU477" s="153" t="s">
        <v>86</v>
      </c>
      <c r="AV477" s="12" t="s">
        <v>86</v>
      </c>
      <c r="AW477" s="12" t="s">
        <v>37</v>
      </c>
      <c r="AX477" s="12" t="s">
        <v>76</v>
      </c>
      <c r="AY477" s="153" t="s">
        <v>144</v>
      </c>
    </row>
    <row r="478" spans="2:51" s="13" customFormat="1" ht="12">
      <c r="B478" s="159"/>
      <c r="D478" s="145" t="s">
        <v>249</v>
      </c>
      <c r="E478" s="160" t="s">
        <v>19</v>
      </c>
      <c r="F478" s="161" t="s">
        <v>251</v>
      </c>
      <c r="H478" s="162">
        <v>6</v>
      </c>
      <c r="I478" s="163"/>
      <c r="L478" s="159"/>
      <c r="M478" s="164"/>
      <c r="T478" s="165"/>
      <c r="AT478" s="160" t="s">
        <v>249</v>
      </c>
      <c r="AU478" s="160" t="s">
        <v>86</v>
      </c>
      <c r="AV478" s="13" t="s">
        <v>166</v>
      </c>
      <c r="AW478" s="13" t="s">
        <v>37</v>
      </c>
      <c r="AX478" s="13" t="s">
        <v>84</v>
      </c>
      <c r="AY478" s="160" t="s">
        <v>144</v>
      </c>
    </row>
    <row r="479" spans="2:65" s="1" customFormat="1" ht="42.6" customHeight="1">
      <c r="B479" s="33"/>
      <c r="C479" s="128" t="s">
        <v>848</v>
      </c>
      <c r="D479" s="128" t="s">
        <v>147</v>
      </c>
      <c r="E479" s="129" t="s">
        <v>849</v>
      </c>
      <c r="F479" s="130" t="s">
        <v>850</v>
      </c>
      <c r="G479" s="131" t="s">
        <v>324</v>
      </c>
      <c r="H479" s="132">
        <v>10</v>
      </c>
      <c r="I479" s="133"/>
      <c r="J479" s="134">
        <f>ROUND(I479*H479,2)</f>
        <v>0</v>
      </c>
      <c r="K479" s="130" t="s">
        <v>151</v>
      </c>
      <c r="L479" s="33"/>
      <c r="M479" s="135" t="s">
        <v>19</v>
      </c>
      <c r="N479" s="136" t="s">
        <v>47</v>
      </c>
      <c r="P479" s="137">
        <f>O479*H479</f>
        <v>0</v>
      </c>
      <c r="Q479" s="137">
        <v>0</v>
      </c>
      <c r="R479" s="137">
        <f>Q479*H479</f>
        <v>0</v>
      </c>
      <c r="S479" s="137">
        <v>1.8</v>
      </c>
      <c r="T479" s="138">
        <f>S479*H479</f>
        <v>18</v>
      </c>
      <c r="AR479" s="139" t="s">
        <v>166</v>
      </c>
      <c r="AT479" s="139" t="s">
        <v>147</v>
      </c>
      <c r="AU479" s="139" t="s">
        <v>86</v>
      </c>
      <c r="AY479" s="18" t="s">
        <v>144</v>
      </c>
      <c r="BE479" s="140">
        <f>IF(N479="základní",J479,0)</f>
        <v>0</v>
      </c>
      <c r="BF479" s="140">
        <f>IF(N479="snížená",J479,0)</f>
        <v>0</v>
      </c>
      <c r="BG479" s="140">
        <f>IF(N479="zákl. přenesená",J479,0)</f>
        <v>0</v>
      </c>
      <c r="BH479" s="140">
        <f>IF(N479="sníž. přenesená",J479,0)</f>
        <v>0</v>
      </c>
      <c r="BI479" s="140">
        <f>IF(N479="nulová",J479,0)</f>
        <v>0</v>
      </c>
      <c r="BJ479" s="18" t="s">
        <v>84</v>
      </c>
      <c r="BK479" s="140">
        <f>ROUND(I479*H479,2)</f>
        <v>0</v>
      </c>
      <c r="BL479" s="18" t="s">
        <v>166</v>
      </c>
      <c r="BM479" s="139" t="s">
        <v>851</v>
      </c>
    </row>
    <row r="480" spans="2:47" s="1" customFormat="1" ht="12">
      <c r="B480" s="33"/>
      <c r="D480" s="141" t="s">
        <v>154</v>
      </c>
      <c r="F480" s="142" t="s">
        <v>852</v>
      </c>
      <c r="I480" s="143"/>
      <c r="L480" s="33"/>
      <c r="M480" s="144"/>
      <c r="T480" s="54"/>
      <c r="AT480" s="18" t="s">
        <v>154</v>
      </c>
      <c r="AU480" s="18" t="s">
        <v>86</v>
      </c>
    </row>
    <row r="481" spans="2:51" s="12" customFormat="1" ht="12">
      <c r="B481" s="152"/>
      <c r="D481" s="145" t="s">
        <v>249</v>
      </c>
      <c r="E481" s="153" t="s">
        <v>19</v>
      </c>
      <c r="F481" s="154" t="s">
        <v>853</v>
      </c>
      <c r="H481" s="155">
        <v>10</v>
      </c>
      <c r="I481" s="156"/>
      <c r="L481" s="152"/>
      <c r="M481" s="157"/>
      <c r="T481" s="158"/>
      <c r="AT481" s="153" t="s">
        <v>249</v>
      </c>
      <c r="AU481" s="153" t="s">
        <v>86</v>
      </c>
      <c r="AV481" s="12" t="s">
        <v>86</v>
      </c>
      <c r="AW481" s="12" t="s">
        <v>37</v>
      </c>
      <c r="AX481" s="12" t="s">
        <v>76</v>
      </c>
      <c r="AY481" s="153" t="s">
        <v>144</v>
      </c>
    </row>
    <row r="482" spans="2:51" s="13" customFormat="1" ht="12">
      <c r="B482" s="159"/>
      <c r="D482" s="145" t="s">
        <v>249</v>
      </c>
      <c r="E482" s="160" t="s">
        <v>19</v>
      </c>
      <c r="F482" s="161" t="s">
        <v>251</v>
      </c>
      <c r="H482" s="162">
        <v>10</v>
      </c>
      <c r="I482" s="163"/>
      <c r="L482" s="159"/>
      <c r="M482" s="164"/>
      <c r="T482" s="165"/>
      <c r="AT482" s="160" t="s">
        <v>249</v>
      </c>
      <c r="AU482" s="160" t="s">
        <v>86</v>
      </c>
      <c r="AV482" s="13" t="s">
        <v>166</v>
      </c>
      <c r="AW482" s="13" t="s">
        <v>37</v>
      </c>
      <c r="AX482" s="13" t="s">
        <v>84</v>
      </c>
      <c r="AY482" s="160" t="s">
        <v>144</v>
      </c>
    </row>
    <row r="483" spans="2:65" s="1" customFormat="1" ht="53.25" customHeight="1">
      <c r="B483" s="33"/>
      <c r="C483" s="128" t="s">
        <v>854</v>
      </c>
      <c r="D483" s="128" t="s">
        <v>147</v>
      </c>
      <c r="E483" s="129" t="s">
        <v>855</v>
      </c>
      <c r="F483" s="130" t="s">
        <v>856</v>
      </c>
      <c r="G483" s="131" t="s">
        <v>467</v>
      </c>
      <c r="H483" s="132">
        <v>3</v>
      </c>
      <c r="I483" s="133"/>
      <c r="J483" s="134">
        <f>ROUND(I483*H483,2)</f>
        <v>0</v>
      </c>
      <c r="K483" s="130" t="s">
        <v>151</v>
      </c>
      <c r="L483" s="33"/>
      <c r="M483" s="135" t="s">
        <v>19</v>
      </c>
      <c r="N483" s="136" t="s">
        <v>47</v>
      </c>
      <c r="P483" s="137">
        <f>O483*H483</f>
        <v>0</v>
      </c>
      <c r="Q483" s="137">
        <v>0</v>
      </c>
      <c r="R483" s="137">
        <f>Q483*H483</f>
        <v>0</v>
      </c>
      <c r="S483" s="137">
        <v>0.082</v>
      </c>
      <c r="T483" s="138">
        <f>S483*H483</f>
        <v>0.246</v>
      </c>
      <c r="AR483" s="139" t="s">
        <v>166</v>
      </c>
      <c r="AT483" s="139" t="s">
        <v>147</v>
      </c>
      <c r="AU483" s="139" t="s">
        <v>86</v>
      </c>
      <c r="AY483" s="18" t="s">
        <v>144</v>
      </c>
      <c r="BE483" s="140">
        <f>IF(N483="základní",J483,0)</f>
        <v>0</v>
      </c>
      <c r="BF483" s="140">
        <f>IF(N483="snížená",J483,0)</f>
        <v>0</v>
      </c>
      <c r="BG483" s="140">
        <f>IF(N483="zákl. přenesená",J483,0)</f>
        <v>0</v>
      </c>
      <c r="BH483" s="140">
        <f>IF(N483="sníž. přenesená",J483,0)</f>
        <v>0</v>
      </c>
      <c r="BI483" s="140">
        <f>IF(N483="nulová",J483,0)</f>
        <v>0</v>
      </c>
      <c r="BJ483" s="18" t="s">
        <v>84</v>
      </c>
      <c r="BK483" s="140">
        <f>ROUND(I483*H483,2)</f>
        <v>0</v>
      </c>
      <c r="BL483" s="18" t="s">
        <v>166</v>
      </c>
      <c r="BM483" s="139" t="s">
        <v>857</v>
      </c>
    </row>
    <row r="484" spans="2:47" s="1" customFormat="1" ht="12">
      <c r="B484" s="33"/>
      <c r="D484" s="141" t="s">
        <v>154</v>
      </c>
      <c r="F484" s="142" t="s">
        <v>858</v>
      </c>
      <c r="I484" s="143"/>
      <c r="L484" s="33"/>
      <c r="M484" s="144"/>
      <c r="T484" s="54"/>
      <c r="AT484" s="18" t="s">
        <v>154</v>
      </c>
      <c r="AU484" s="18" t="s">
        <v>86</v>
      </c>
    </row>
    <row r="485" spans="2:65" s="1" customFormat="1" ht="47.4" customHeight="1">
      <c r="B485" s="33"/>
      <c r="C485" s="128" t="s">
        <v>859</v>
      </c>
      <c r="D485" s="128" t="s">
        <v>147</v>
      </c>
      <c r="E485" s="129" t="s">
        <v>860</v>
      </c>
      <c r="F485" s="130" t="s">
        <v>861</v>
      </c>
      <c r="G485" s="131" t="s">
        <v>467</v>
      </c>
      <c r="H485" s="132">
        <v>3</v>
      </c>
      <c r="I485" s="133"/>
      <c r="J485" s="134">
        <f>ROUND(I485*H485,2)</f>
        <v>0</v>
      </c>
      <c r="K485" s="130" t="s">
        <v>151</v>
      </c>
      <c r="L485" s="33"/>
      <c r="M485" s="135" t="s">
        <v>19</v>
      </c>
      <c r="N485" s="136" t="s">
        <v>47</v>
      </c>
      <c r="P485" s="137">
        <f>O485*H485</f>
        <v>0</v>
      </c>
      <c r="Q485" s="137">
        <v>0</v>
      </c>
      <c r="R485" s="137">
        <f>Q485*H485</f>
        <v>0</v>
      </c>
      <c r="S485" s="137">
        <v>0.004</v>
      </c>
      <c r="T485" s="138">
        <f>S485*H485</f>
        <v>0.012</v>
      </c>
      <c r="AR485" s="139" t="s">
        <v>166</v>
      </c>
      <c r="AT485" s="139" t="s">
        <v>147</v>
      </c>
      <c r="AU485" s="139" t="s">
        <v>86</v>
      </c>
      <c r="AY485" s="18" t="s">
        <v>144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84</v>
      </c>
      <c r="BK485" s="140">
        <f>ROUND(I485*H485,2)</f>
        <v>0</v>
      </c>
      <c r="BL485" s="18" t="s">
        <v>166</v>
      </c>
      <c r="BM485" s="139" t="s">
        <v>862</v>
      </c>
    </row>
    <row r="486" spans="2:47" s="1" customFormat="1" ht="12">
      <c r="B486" s="33"/>
      <c r="D486" s="141" t="s">
        <v>154</v>
      </c>
      <c r="F486" s="142" t="s">
        <v>863</v>
      </c>
      <c r="I486" s="143"/>
      <c r="L486" s="33"/>
      <c r="M486" s="144"/>
      <c r="T486" s="54"/>
      <c r="AT486" s="18" t="s">
        <v>154</v>
      </c>
      <c r="AU486" s="18" t="s">
        <v>86</v>
      </c>
    </row>
    <row r="487" spans="2:65" s="1" customFormat="1" ht="47.4" customHeight="1">
      <c r="B487" s="33"/>
      <c r="C487" s="128" t="s">
        <v>864</v>
      </c>
      <c r="D487" s="128" t="s">
        <v>147</v>
      </c>
      <c r="E487" s="129" t="s">
        <v>865</v>
      </c>
      <c r="F487" s="130" t="s">
        <v>866</v>
      </c>
      <c r="G487" s="131" t="s">
        <v>467</v>
      </c>
      <c r="H487" s="132">
        <v>2</v>
      </c>
      <c r="I487" s="133"/>
      <c r="J487" s="134">
        <f>ROUND(I487*H487,2)</f>
        <v>0</v>
      </c>
      <c r="K487" s="130" t="s">
        <v>151</v>
      </c>
      <c r="L487" s="33"/>
      <c r="M487" s="135" t="s">
        <v>19</v>
      </c>
      <c r="N487" s="136" t="s">
        <v>47</v>
      </c>
      <c r="P487" s="137">
        <f>O487*H487</f>
        <v>0</v>
      </c>
      <c r="Q487" s="137">
        <v>0</v>
      </c>
      <c r="R487" s="137">
        <f>Q487*H487</f>
        <v>0</v>
      </c>
      <c r="S487" s="137">
        <v>0.024</v>
      </c>
      <c r="T487" s="138">
        <f>S487*H487</f>
        <v>0.048</v>
      </c>
      <c r="AR487" s="139" t="s">
        <v>166</v>
      </c>
      <c r="AT487" s="139" t="s">
        <v>147</v>
      </c>
      <c r="AU487" s="139" t="s">
        <v>86</v>
      </c>
      <c r="AY487" s="18" t="s">
        <v>144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8" t="s">
        <v>84</v>
      </c>
      <c r="BK487" s="140">
        <f>ROUND(I487*H487,2)</f>
        <v>0</v>
      </c>
      <c r="BL487" s="18" t="s">
        <v>166</v>
      </c>
      <c r="BM487" s="139" t="s">
        <v>867</v>
      </c>
    </row>
    <row r="488" spans="2:47" s="1" customFormat="1" ht="12">
      <c r="B488" s="33"/>
      <c r="D488" s="141" t="s">
        <v>154</v>
      </c>
      <c r="F488" s="142" t="s">
        <v>868</v>
      </c>
      <c r="I488" s="143"/>
      <c r="L488" s="33"/>
      <c r="M488" s="144"/>
      <c r="T488" s="54"/>
      <c r="AT488" s="18" t="s">
        <v>154</v>
      </c>
      <c r="AU488" s="18" t="s">
        <v>86</v>
      </c>
    </row>
    <row r="489" spans="2:63" s="11" customFormat="1" ht="22.8" customHeight="1">
      <c r="B489" s="116"/>
      <c r="D489" s="117" t="s">
        <v>75</v>
      </c>
      <c r="E489" s="126" t="s">
        <v>869</v>
      </c>
      <c r="F489" s="126" t="s">
        <v>870</v>
      </c>
      <c r="I489" s="119"/>
      <c r="J489" s="127">
        <f>BK489</f>
        <v>0</v>
      </c>
      <c r="L489" s="116"/>
      <c r="M489" s="121"/>
      <c r="P489" s="122">
        <f>SUM(P490:P538)</f>
        <v>0</v>
      </c>
      <c r="R489" s="122">
        <f>SUM(R490:R538)</f>
        <v>0</v>
      </c>
      <c r="T489" s="123">
        <f>SUM(T490:T538)</f>
        <v>0</v>
      </c>
      <c r="AR489" s="117" t="s">
        <v>84</v>
      </c>
      <c r="AT489" s="124" t="s">
        <v>75</v>
      </c>
      <c r="AU489" s="124" t="s">
        <v>84</v>
      </c>
      <c r="AY489" s="117" t="s">
        <v>144</v>
      </c>
      <c r="BK489" s="125">
        <f>SUM(BK490:BK538)</f>
        <v>0</v>
      </c>
    </row>
    <row r="490" spans="2:65" s="1" customFormat="1" ht="42.6" customHeight="1">
      <c r="B490" s="33"/>
      <c r="C490" s="128" t="s">
        <v>871</v>
      </c>
      <c r="D490" s="128" t="s">
        <v>147</v>
      </c>
      <c r="E490" s="129" t="s">
        <v>872</v>
      </c>
      <c r="F490" s="130" t="s">
        <v>873</v>
      </c>
      <c r="G490" s="131" t="s">
        <v>413</v>
      </c>
      <c r="H490" s="132">
        <v>18</v>
      </c>
      <c r="I490" s="133"/>
      <c r="J490" s="134">
        <f>ROUND(I490*H490,2)</f>
        <v>0</v>
      </c>
      <c r="K490" s="130" t="s">
        <v>151</v>
      </c>
      <c r="L490" s="33"/>
      <c r="M490" s="135" t="s">
        <v>19</v>
      </c>
      <c r="N490" s="136" t="s">
        <v>47</v>
      </c>
      <c r="P490" s="137">
        <f>O490*H490</f>
        <v>0</v>
      </c>
      <c r="Q490" s="137">
        <v>0</v>
      </c>
      <c r="R490" s="137">
        <f>Q490*H490</f>
        <v>0</v>
      </c>
      <c r="S490" s="137">
        <v>0</v>
      </c>
      <c r="T490" s="138">
        <f>S490*H490</f>
        <v>0</v>
      </c>
      <c r="AR490" s="139" t="s">
        <v>166</v>
      </c>
      <c r="AT490" s="139" t="s">
        <v>147</v>
      </c>
      <c r="AU490" s="139" t="s">
        <v>86</v>
      </c>
      <c r="AY490" s="18" t="s">
        <v>144</v>
      </c>
      <c r="BE490" s="140">
        <f>IF(N490="základní",J490,0)</f>
        <v>0</v>
      </c>
      <c r="BF490" s="140">
        <f>IF(N490="snížená",J490,0)</f>
        <v>0</v>
      </c>
      <c r="BG490" s="140">
        <f>IF(N490="zákl. přenesená",J490,0)</f>
        <v>0</v>
      </c>
      <c r="BH490" s="140">
        <f>IF(N490="sníž. přenesená",J490,0)</f>
        <v>0</v>
      </c>
      <c r="BI490" s="140">
        <f>IF(N490="nulová",J490,0)</f>
        <v>0</v>
      </c>
      <c r="BJ490" s="18" t="s">
        <v>84</v>
      </c>
      <c r="BK490" s="140">
        <f>ROUND(I490*H490,2)</f>
        <v>0</v>
      </c>
      <c r="BL490" s="18" t="s">
        <v>166</v>
      </c>
      <c r="BM490" s="139" t="s">
        <v>874</v>
      </c>
    </row>
    <row r="491" spans="2:47" s="1" customFormat="1" ht="12">
      <c r="B491" s="33"/>
      <c r="D491" s="141" t="s">
        <v>154</v>
      </c>
      <c r="F491" s="142" t="s">
        <v>875</v>
      </c>
      <c r="I491" s="143"/>
      <c r="L491" s="33"/>
      <c r="M491" s="144"/>
      <c r="T491" s="54"/>
      <c r="AT491" s="18" t="s">
        <v>154</v>
      </c>
      <c r="AU491" s="18" t="s">
        <v>86</v>
      </c>
    </row>
    <row r="492" spans="2:51" s="12" customFormat="1" ht="12">
      <c r="B492" s="152"/>
      <c r="D492" s="145" t="s">
        <v>249</v>
      </c>
      <c r="E492" s="153" t="s">
        <v>19</v>
      </c>
      <c r="F492" s="154" t="s">
        <v>876</v>
      </c>
      <c r="H492" s="155">
        <v>18</v>
      </c>
      <c r="I492" s="156"/>
      <c r="L492" s="152"/>
      <c r="M492" s="157"/>
      <c r="T492" s="158"/>
      <c r="AT492" s="153" t="s">
        <v>249</v>
      </c>
      <c r="AU492" s="153" t="s">
        <v>86</v>
      </c>
      <c r="AV492" s="12" t="s">
        <v>86</v>
      </c>
      <c r="AW492" s="12" t="s">
        <v>37</v>
      </c>
      <c r="AX492" s="12" t="s">
        <v>76</v>
      </c>
      <c r="AY492" s="153" t="s">
        <v>144</v>
      </c>
    </row>
    <row r="493" spans="2:51" s="13" customFormat="1" ht="12">
      <c r="B493" s="159"/>
      <c r="D493" s="145" t="s">
        <v>249</v>
      </c>
      <c r="E493" s="160" t="s">
        <v>19</v>
      </c>
      <c r="F493" s="161" t="s">
        <v>251</v>
      </c>
      <c r="H493" s="162">
        <v>18</v>
      </c>
      <c r="I493" s="163"/>
      <c r="L493" s="159"/>
      <c r="M493" s="164"/>
      <c r="T493" s="165"/>
      <c r="AT493" s="160" t="s">
        <v>249</v>
      </c>
      <c r="AU493" s="160" t="s">
        <v>86</v>
      </c>
      <c r="AV493" s="13" t="s">
        <v>166</v>
      </c>
      <c r="AW493" s="13" t="s">
        <v>37</v>
      </c>
      <c r="AX493" s="13" t="s">
        <v>84</v>
      </c>
      <c r="AY493" s="160" t="s">
        <v>144</v>
      </c>
    </row>
    <row r="494" spans="2:65" s="1" customFormat="1" ht="36.6" customHeight="1">
      <c r="B494" s="33"/>
      <c r="C494" s="128" t="s">
        <v>877</v>
      </c>
      <c r="D494" s="128" t="s">
        <v>147</v>
      </c>
      <c r="E494" s="129" t="s">
        <v>878</v>
      </c>
      <c r="F494" s="130" t="s">
        <v>879</v>
      </c>
      <c r="G494" s="131" t="s">
        <v>413</v>
      </c>
      <c r="H494" s="132">
        <v>385.98</v>
      </c>
      <c r="I494" s="133"/>
      <c r="J494" s="134">
        <f>ROUND(I494*H494,2)</f>
        <v>0</v>
      </c>
      <c r="K494" s="130" t="s">
        <v>151</v>
      </c>
      <c r="L494" s="33"/>
      <c r="M494" s="135" t="s">
        <v>19</v>
      </c>
      <c r="N494" s="136" t="s">
        <v>47</v>
      </c>
      <c r="P494" s="137">
        <f>O494*H494</f>
        <v>0</v>
      </c>
      <c r="Q494" s="137">
        <v>0</v>
      </c>
      <c r="R494" s="137">
        <f>Q494*H494</f>
        <v>0</v>
      </c>
      <c r="S494" s="137">
        <v>0</v>
      </c>
      <c r="T494" s="138">
        <f>S494*H494</f>
        <v>0</v>
      </c>
      <c r="AR494" s="139" t="s">
        <v>166</v>
      </c>
      <c r="AT494" s="139" t="s">
        <v>147</v>
      </c>
      <c r="AU494" s="139" t="s">
        <v>86</v>
      </c>
      <c r="AY494" s="18" t="s">
        <v>144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8" t="s">
        <v>84</v>
      </c>
      <c r="BK494" s="140">
        <f>ROUND(I494*H494,2)</f>
        <v>0</v>
      </c>
      <c r="BL494" s="18" t="s">
        <v>166</v>
      </c>
      <c r="BM494" s="139" t="s">
        <v>880</v>
      </c>
    </row>
    <row r="495" spans="2:47" s="1" customFormat="1" ht="12">
      <c r="B495" s="33"/>
      <c r="D495" s="141" t="s">
        <v>154</v>
      </c>
      <c r="F495" s="142" t="s">
        <v>881</v>
      </c>
      <c r="I495" s="143"/>
      <c r="L495" s="33"/>
      <c r="M495" s="144"/>
      <c r="T495" s="54"/>
      <c r="AT495" s="18" t="s">
        <v>154</v>
      </c>
      <c r="AU495" s="18" t="s">
        <v>86</v>
      </c>
    </row>
    <row r="496" spans="2:51" s="12" customFormat="1" ht="20.4">
      <c r="B496" s="152"/>
      <c r="D496" s="145" t="s">
        <v>249</v>
      </c>
      <c r="E496" s="153" t="s">
        <v>19</v>
      </c>
      <c r="F496" s="154" t="s">
        <v>882</v>
      </c>
      <c r="H496" s="155">
        <v>87</v>
      </c>
      <c r="I496" s="156"/>
      <c r="L496" s="152"/>
      <c r="M496" s="157"/>
      <c r="T496" s="158"/>
      <c r="AT496" s="153" t="s">
        <v>249</v>
      </c>
      <c r="AU496" s="153" t="s">
        <v>86</v>
      </c>
      <c r="AV496" s="12" t="s">
        <v>86</v>
      </c>
      <c r="AW496" s="12" t="s">
        <v>37</v>
      </c>
      <c r="AX496" s="12" t="s">
        <v>76</v>
      </c>
      <c r="AY496" s="153" t="s">
        <v>144</v>
      </c>
    </row>
    <row r="497" spans="2:51" s="12" customFormat="1" ht="30.6">
      <c r="B497" s="152"/>
      <c r="D497" s="145" t="s">
        <v>249</v>
      </c>
      <c r="E497" s="153" t="s">
        <v>19</v>
      </c>
      <c r="F497" s="154" t="s">
        <v>883</v>
      </c>
      <c r="H497" s="155">
        <v>82.94</v>
      </c>
      <c r="I497" s="156"/>
      <c r="L497" s="152"/>
      <c r="M497" s="157"/>
      <c r="T497" s="158"/>
      <c r="AT497" s="153" t="s">
        <v>249</v>
      </c>
      <c r="AU497" s="153" t="s">
        <v>86</v>
      </c>
      <c r="AV497" s="12" t="s">
        <v>86</v>
      </c>
      <c r="AW497" s="12" t="s">
        <v>37</v>
      </c>
      <c r="AX497" s="12" t="s">
        <v>76</v>
      </c>
      <c r="AY497" s="153" t="s">
        <v>144</v>
      </c>
    </row>
    <row r="498" spans="2:51" s="12" customFormat="1" ht="20.4">
      <c r="B498" s="152"/>
      <c r="D498" s="145" t="s">
        <v>249</v>
      </c>
      <c r="E498" s="153" t="s">
        <v>19</v>
      </c>
      <c r="F498" s="154" t="s">
        <v>884</v>
      </c>
      <c r="H498" s="155">
        <v>216.04</v>
      </c>
      <c r="I498" s="156"/>
      <c r="L498" s="152"/>
      <c r="M498" s="157"/>
      <c r="T498" s="158"/>
      <c r="AT498" s="153" t="s">
        <v>249</v>
      </c>
      <c r="AU498" s="153" t="s">
        <v>86</v>
      </c>
      <c r="AV498" s="12" t="s">
        <v>86</v>
      </c>
      <c r="AW498" s="12" t="s">
        <v>37</v>
      </c>
      <c r="AX498" s="12" t="s">
        <v>76</v>
      </c>
      <c r="AY498" s="153" t="s">
        <v>144</v>
      </c>
    </row>
    <row r="499" spans="2:51" s="13" customFormat="1" ht="12">
      <c r="B499" s="159"/>
      <c r="D499" s="145" t="s">
        <v>249</v>
      </c>
      <c r="E499" s="160" t="s">
        <v>19</v>
      </c>
      <c r="F499" s="161" t="s">
        <v>251</v>
      </c>
      <c r="H499" s="162">
        <v>385.98</v>
      </c>
      <c r="I499" s="163"/>
      <c r="L499" s="159"/>
      <c r="M499" s="164"/>
      <c r="T499" s="165"/>
      <c r="AT499" s="160" t="s">
        <v>249</v>
      </c>
      <c r="AU499" s="160" t="s">
        <v>86</v>
      </c>
      <c r="AV499" s="13" t="s">
        <v>166</v>
      </c>
      <c r="AW499" s="13" t="s">
        <v>37</v>
      </c>
      <c r="AX499" s="13" t="s">
        <v>84</v>
      </c>
      <c r="AY499" s="160" t="s">
        <v>144</v>
      </c>
    </row>
    <row r="500" spans="2:65" s="1" customFormat="1" ht="36.6" customHeight="1">
      <c r="B500" s="33"/>
      <c r="C500" s="128" t="s">
        <v>885</v>
      </c>
      <c r="D500" s="128" t="s">
        <v>147</v>
      </c>
      <c r="E500" s="129" t="s">
        <v>878</v>
      </c>
      <c r="F500" s="130" t="s">
        <v>879</v>
      </c>
      <c r="G500" s="131" t="s">
        <v>413</v>
      </c>
      <c r="H500" s="132">
        <v>426.495</v>
      </c>
      <c r="I500" s="133"/>
      <c r="J500" s="134">
        <f>ROUND(I500*H500,2)</f>
        <v>0</v>
      </c>
      <c r="K500" s="130" t="s">
        <v>151</v>
      </c>
      <c r="L500" s="33"/>
      <c r="M500" s="135" t="s">
        <v>19</v>
      </c>
      <c r="N500" s="136" t="s">
        <v>47</v>
      </c>
      <c r="P500" s="137">
        <f>O500*H500</f>
        <v>0</v>
      </c>
      <c r="Q500" s="137">
        <v>0</v>
      </c>
      <c r="R500" s="137">
        <f>Q500*H500</f>
        <v>0</v>
      </c>
      <c r="S500" s="137">
        <v>0</v>
      </c>
      <c r="T500" s="138">
        <f>S500*H500</f>
        <v>0</v>
      </c>
      <c r="AR500" s="139" t="s">
        <v>166</v>
      </c>
      <c r="AT500" s="139" t="s">
        <v>147</v>
      </c>
      <c r="AU500" s="139" t="s">
        <v>86</v>
      </c>
      <c r="AY500" s="18" t="s">
        <v>144</v>
      </c>
      <c r="BE500" s="140">
        <f>IF(N500="základní",J500,0)</f>
        <v>0</v>
      </c>
      <c r="BF500" s="140">
        <f>IF(N500="snížená",J500,0)</f>
        <v>0</v>
      </c>
      <c r="BG500" s="140">
        <f>IF(N500="zákl. přenesená",J500,0)</f>
        <v>0</v>
      </c>
      <c r="BH500" s="140">
        <f>IF(N500="sníž. přenesená",J500,0)</f>
        <v>0</v>
      </c>
      <c r="BI500" s="140">
        <f>IF(N500="nulová",J500,0)</f>
        <v>0</v>
      </c>
      <c r="BJ500" s="18" t="s">
        <v>84</v>
      </c>
      <c r="BK500" s="140">
        <f>ROUND(I500*H500,2)</f>
        <v>0</v>
      </c>
      <c r="BL500" s="18" t="s">
        <v>166</v>
      </c>
      <c r="BM500" s="139" t="s">
        <v>886</v>
      </c>
    </row>
    <row r="501" spans="2:47" s="1" customFormat="1" ht="12">
      <c r="B501" s="33"/>
      <c r="D501" s="141" t="s">
        <v>154</v>
      </c>
      <c r="F501" s="142" t="s">
        <v>881</v>
      </c>
      <c r="I501" s="143"/>
      <c r="L501" s="33"/>
      <c r="M501" s="144"/>
      <c r="T501" s="54"/>
      <c r="AT501" s="18" t="s">
        <v>154</v>
      </c>
      <c r="AU501" s="18" t="s">
        <v>86</v>
      </c>
    </row>
    <row r="502" spans="2:51" s="12" customFormat="1" ht="20.4">
      <c r="B502" s="152"/>
      <c r="D502" s="145" t="s">
        <v>249</v>
      </c>
      <c r="E502" s="153" t="s">
        <v>19</v>
      </c>
      <c r="F502" s="154" t="s">
        <v>887</v>
      </c>
      <c r="H502" s="155">
        <v>51</v>
      </c>
      <c r="I502" s="156"/>
      <c r="L502" s="152"/>
      <c r="M502" s="157"/>
      <c r="T502" s="158"/>
      <c r="AT502" s="153" t="s">
        <v>249</v>
      </c>
      <c r="AU502" s="153" t="s">
        <v>86</v>
      </c>
      <c r="AV502" s="12" t="s">
        <v>86</v>
      </c>
      <c r="AW502" s="12" t="s">
        <v>37</v>
      </c>
      <c r="AX502" s="12" t="s">
        <v>76</v>
      </c>
      <c r="AY502" s="153" t="s">
        <v>144</v>
      </c>
    </row>
    <row r="503" spans="2:51" s="12" customFormat="1" ht="20.4">
      <c r="B503" s="152"/>
      <c r="D503" s="145" t="s">
        <v>249</v>
      </c>
      <c r="E503" s="153" t="s">
        <v>19</v>
      </c>
      <c r="F503" s="154" t="s">
        <v>888</v>
      </c>
      <c r="H503" s="155">
        <v>25.48</v>
      </c>
      <c r="I503" s="156"/>
      <c r="L503" s="152"/>
      <c r="M503" s="157"/>
      <c r="T503" s="158"/>
      <c r="AT503" s="153" t="s">
        <v>249</v>
      </c>
      <c r="AU503" s="153" t="s">
        <v>86</v>
      </c>
      <c r="AV503" s="12" t="s">
        <v>86</v>
      </c>
      <c r="AW503" s="12" t="s">
        <v>37</v>
      </c>
      <c r="AX503" s="12" t="s">
        <v>76</v>
      </c>
      <c r="AY503" s="153" t="s">
        <v>144</v>
      </c>
    </row>
    <row r="504" spans="2:51" s="12" customFormat="1" ht="20.4">
      <c r="B504" s="152"/>
      <c r="D504" s="145" t="s">
        <v>249</v>
      </c>
      <c r="E504" s="153" t="s">
        <v>19</v>
      </c>
      <c r="F504" s="154" t="s">
        <v>889</v>
      </c>
      <c r="H504" s="155">
        <v>287.615</v>
      </c>
      <c r="I504" s="156"/>
      <c r="L504" s="152"/>
      <c r="M504" s="157"/>
      <c r="T504" s="158"/>
      <c r="AT504" s="153" t="s">
        <v>249</v>
      </c>
      <c r="AU504" s="153" t="s">
        <v>86</v>
      </c>
      <c r="AV504" s="12" t="s">
        <v>86</v>
      </c>
      <c r="AW504" s="12" t="s">
        <v>37</v>
      </c>
      <c r="AX504" s="12" t="s">
        <v>76</v>
      </c>
      <c r="AY504" s="153" t="s">
        <v>144</v>
      </c>
    </row>
    <row r="505" spans="2:51" s="12" customFormat="1" ht="12">
      <c r="B505" s="152"/>
      <c r="D505" s="145" t="s">
        <v>249</v>
      </c>
      <c r="E505" s="153" t="s">
        <v>19</v>
      </c>
      <c r="F505" s="154" t="s">
        <v>890</v>
      </c>
      <c r="H505" s="155">
        <v>62.4</v>
      </c>
      <c r="I505" s="156"/>
      <c r="L505" s="152"/>
      <c r="M505" s="157"/>
      <c r="T505" s="158"/>
      <c r="AT505" s="153" t="s">
        <v>249</v>
      </c>
      <c r="AU505" s="153" t="s">
        <v>86</v>
      </c>
      <c r="AV505" s="12" t="s">
        <v>86</v>
      </c>
      <c r="AW505" s="12" t="s">
        <v>37</v>
      </c>
      <c r="AX505" s="12" t="s">
        <v>76</v>
      </c>
      <c r="AY505" s="153" t="s">
        <v>144</v>
      </c>
    </row>
    <row r="506" spans="2:51" s="13" customFormat="1" ht="12">
      <c r="B506" s="159"/>
      <c r="D506" s="145" t="s">
        <v>249</v>
      </c>
      <c r="E506" s="160" t="s">
        <v>19</v>
      </c>
      <c r="F506" s="161" t="s">
        <v>251</v>
      </c>
      <c r="H506" s="162">
        <v>426.495</v>
      </c>
      <c r="I506" s="163"/>
      <c r="L506" s="159"/>
      <c r="M506" s="164"/>
      <c r="T506" s="165"/>
      <c r="AT506" s="160" t="s">
        <v>249</v>
      </c>
      <c r="AU506" s="160" t="s">
        <v>86</v>
      </c>
      <c r="AV506" s="13" t="s">
        <v>166</v>
      </c>
      <c r="AW506" s="13" t="s">
        <v>37</v>
      </c>
      <c r="AX506" s="13" t="s">
        <v>84</v>
      </c>
      <c r="AY506" s="160" t="s">
        <v>144</v>
      </c>
    </row>
    <row r="507" spans="2:65" s="1" customFormat="1" ht="36.6" customHeight="1">
      <c r="B507" s="33"/>
      <c r="C507" s="128" t="s">
        <v>891</v>
      </c>
      <c r="D507" s="128" t="s">
        <v>147</v>
      </c>
      <c r="E507" s="129" t="s">
        <v>892</v>
      </c>
      <c r="F507" s="130" t="s">
        <v>893</v>
      </c>
      <c r="G507" s="131" t="s">
        <v>413</v>
      </c>
      <c r="H507" s="132">
        <v>8103.405</v>
      </c>
      <c r="I507" s="133"/>
      <c r="J507" s="134">
        <f>ROUND(I507*H507,2)</f>
        <v>0</v>
      </c>
      <c r="K507" s="130" t="s">
        <v>151</v>
      </c>
      <c r="L507" s="33"/>
      <c r="M507" s="135" t="s">
        <v>19</v>
      </c>
      <c r="N507" s="136" t="s">
        <v>47</v>
      </c>
      <c r="P507" s="137">
        <f>O507*H507</f>
        <v>0</v>
      </c>
      <c r="Q507" s="137">
        <v>0</v>
      </c>
      <c r="R507" s="137">
        <f>Q507*H507</f>
        <v>0</v>
      </c>
      <c r="S507" s="137">
        <v>0</v>
      </c>
      <c r="T507" s="138">
        <f>S507*H507</f>
        <v>0</v>
      </c>
      <c r="AR507" s="139" t="s">
        <v>166</v>
      </c>
      <c r="AT507" s="139" t="s">
        <v>147</v>
      </c>
      <c r="AU507" s="139" t="s">
        <v>86</v>
      </c>
      <c r="AY507" s="18" t="s">
        <v>144</v>
      </c>
      <c r="BE507" s="140">
        <f>IF(N507="základní",J507,0)</f>
        <v>0</v>
      </c>
      <c r="BF507" s="140">
        <f>IF(N507="snížená",J507,0)</f>
        <v>0</v>
      </c>
      <c r="BG507" s="140">
        <f>IF(N507="zákl. přenesená",J507,0)</f>
        <v>0</v>
      </c>
      <c r="BH507" s="140">
        <f>IF(N507="sníž. přenesená",J507,0)</f>
        <v>0</v>
      </c>
      <c r="BI507" s="140">
        <f>IF(N507="nulová",J507,0)</f>
        <v>0</v>
      </c>
      <c r="BJ507" s="18" t="s">
        <v>84</v>
      </c>
      <c r="BK507" s="140">
        <f>ROUND(I507*H507,2)</f>
        <v>0</v>
      </c>
      <c r="BL507" s="18" t="s">
        <v>166</v>
      </c>
      <c r="BM507" s="139" t="s">
        <v>894</v>
      </c>
    </row>
    <row r="508" spans="2:47" s="1" customFormat="1" ht="12">
      <c r="B508" s="33"/>
      <c r="D508" s="141" t="s">
        <v>154</v>
      </c>
      <c r="F508" s="142" t="s">
        <v>895</v>
      </c>
      <c r="I508" s="143"/>
      <c r="L508" s="33"/>
      <c r="M508" s="144"/>
      <c r="T508" s="54"/>
      <c r="AT508" s="18" t="s">
        <v>154</v>
      </c>
      <c r="AU508" s="18" t="s">
        <v>86</v>
      </c>
    </row>
    <row r="509" spans="2:51" s="12" customFormat="1" ht="12">
      <c r="B509" s="152"/>
      <c r="D509" s="145" t="s">
        <v>249</v>
      </c>
      <c r="F509" s="154" t="s">
        <v>896</v>
      </c>
      <c r="H509" s="155">
        <v>8103.405</v>
      </c>
      <c r="I509" s="156"/>
      <c r="L509" s="152"/>
      <c r="M509" s="157"/>
      <c r="T509" s="158"/>
      <c r="AT509" s="153" t="s">
        <v>249</v>
      </c>
      <c r="AU509" s="153" t="s">
        <v>86</v>
      </c>
      <c r="AV509" s="12" t="s">
        <v>86</v>
      </c>
      <c r="AW509" s="12" t="s">
        <v>4</v>
      </c>
      <c r="AX509" s="12" t="s">
        <v>84</v>
      </c>
      <c r="AY509" s="153" t="s">
        <v>144</v>
      </c>
    </row>
    <row r="510" spans="2:65" s="1" customFormat="1" ht="36.6" customHeight="1">
      <c r="B510" s="33"/>
      <c r="C510" s="128" t="s">
        <v>897</v>
      </c>
      <c r="D510" s="128" t="s">
        <v>147</v>
      </c>
      <c r="E510" s="129" t="s">
        <v>898</v>
      </c>
      <c r="F510" s="130" t="s">
        <v>899</v>
      </c>
      <c r="G510" s="131" t="s">
        <v>413</v>
      </c>
      <c r="H510" s="132">
        <v>146.443</v>
      </c>
      <c r="I510" s="133"/>
      <c r="J510" s="134">
        <f>ROUND(I510*H510,2)</f>
        <v>0</v>
      </c>
      <c r="K510" s="130" t="s">
        <v>151</v>
      </c>
      <c r="L510" s="33"/>
      <c r="M510" s="135" t="s">
        <v>19</v>
      </c>
      <c r="N510" s="136" t="s">
        <v>47</v>
      </c>
      <c r="P510" s="137">
        <f>O510*H510</f>
        <v>0</v>
      </c>
      <c r="Q510" s="137">
        <v>0</v>
      </c>
      <c r="R510" s="137">
        <f>Q510*H510</f>
        <v>0</v>
      </c>
      <c r="S510" s="137">
        <v>0</v>
      </c>
      <c r="T510" s="138">
        <f>S510*H510</f>
        <v>0</v>
      </c>
      <c r="AR510" s="139" t="s">
        <v>166</v>
      </c>
      <c r="AT510" s="139" t="s">
        <v>147</v>
      </c>
      <c r="AU510" s="139" t="s">
        <v>86</v>
      </c>
      <c r="AY510" s="18" t="s">
        <v>144</v>
      </c>
      <c r="BE510" s="140">
        <f>IF(N510="základní",J510,0)</f>
        <v>0</v>
      </c>
      <c r="BF510" s="140">
        <f>IF(N510="snížená",J510,0)</f>
        <v>0</v>
      </c>
      <c r="BG510" s="140">
        <f>IF(N510="zákl. přenesená",J510,0)</f>
        <v>0</v>
      </c>
      <c r="BH510" s="140">
        <f>IF(N510="sníž. přenesená",J510,0)</f>
        <v>0</v>
      </c>
      <c r="BI510" s="140">
        <f>IF(N510="nulová",J510,0)</f>
        <v>0</v>
      </c>
      <c r="BJ510" s="18" t="s">
        <v>84</v>
      </c>
      <c r="BK510" s="140">
        <f>ROUND(I510*H510,2)</f>
        <v>0</v>
      </c>
      <c r="BL510" s="18" t="s">
        <v>166</v>
      </c>
      <c r="BM510" s="139" t="s">
        <v>900</v>
      </c>
    </row>
    <row r="511" spans="2:47" s="1" customFormat="1" ht="12">
      <c r="B511" s="33"/>
      <c r="D511" s="141" t="s">
        <v>154</v>
      </c>
      <c r="F511" s="142" t="s">
        <v>901</v>
      </c>
      <c r="I511" s="143"/>
      <c r="L511" s="33"/>
      <c r="M511" s="144"/>
      <c r="T511" s="54"/>
      <c r="AT511" s="18" t="s">
        <v>154</v>
      </c>
      <c r="AU511" s="18" t="s">
        <v>86</v>
      </c>
    </row>
    <row r="512" spans="2:51" s="12" customFormat="1" ht="12">
      <c r="B512" s="152"/>
      <c r="D512" s="145" t="s">
        <v>249</v>
      </c>
      <c r="E512" s="153" t="s">
        <v>19</v>
      </c>
      <c r="F512" s="154" t="s">
        <v>902</v>
      </c>
      <c r="H512" s="155">
        <v>10.2</v>
      </c>
      <c r="I512" s="156"/>
      <c r="L512" s="152"/>
      <c r="M512" s="157"/>
      <c r="T512" s="158"/>
      <c r="AT512" s="153" t="s">
        <v>249</v>
      </c>
      <c r="AU512" s="153" t="s">
        <v>86</v>
      </c>
      <c r="AV512" s="12" t="s">
        <v>86</v>
      </c>
      <c r="AW512" s="12" t="s">
        <v>37</v>
      </c>
      <c r="AX512" s="12" t="s">
        <v>76</v>
      </c>
      <c r="AY512" s="153" t="s">
        <v>144</v>
      </c>
    </row>
    <row r="513" spans="2:51" s="12" customFormat="1" ht="12">
      <c r="B513" s="152"/>
      <c r="D513" s="145" t="s">
        <v>249</v>
      </c>
      <c r="E513" s="153" t="s">
        <v>19</v>
      </c>
      <c r="F513" s="154" t="s">
        <v>903</v>
      </c>
      <c r="H513" s="155">
        <v>16.8</v>
      </c>
      <c r="I513" s="156"/>
      <c r="L513" s="152"/>
      <c r="M513" s="157"/>
      <c r="T513" s="158"/>
      <c r="AT513" s="153" t="s">
        <v>249</v>
      </c>
      <c r="AU513" s="153" t="s">
        <v>86</v>
      </c>
      <c r="AV513" s="12" t="s">
        <v>86</v>
      </c>
      <c r="AW513" s="12" t="s">
        <v>37</v>
      </c>
      <c r="AX513" s="12" t="s">
        <v>76</v>
      </c>
      <c r="AY513" s="153" t="s">
        <v>144</v>
      </c>
    </row>
    <row r="514" spans="2:51" s="12" customFormat="1" ht="12">
      <c r="B514" s="152"/>
      <c r="D514" s="145" t="s">
        <v>249</v>
      </c>
      <c r="E514" s="153" t="s">
        <v>19</v>
      </c>
      <c r="F514" s="154" t="s">
        <v>904</v>
      </c>
      <c r="H514" s="155">
        <v>0.528</v>
      </c>
      <c r="I514" s="156"/>
      <c r="L514" s="152"/>
      <c r="M514" s="157"/>
      <c r="T514" s="158"/>
      <c r="AT514" s="153" t="s">
        <v>249</v>
      </c>
      <c r="AU514" s="153" t="s">
        <v>86</v>
      </c>
      <c r="AV514" s="12" t="s">
        <v>86</v>
      </c>
      <c r="AW514" s="12" t="s">
        <v>37</v>
      </c>
      <c r="AX514" s="12" t="s">
        <v>76</v>
      </c>
      <c r="AY514" s="153" t="s">
        <v>144</v>
      </c>
    </row>
    <row r="515" spans="2:51" s="12" customFormat="1" ht="12">
      <c r="B515" s="152"/>
      <c r="D515" s="145" t="s">
        <v>249</v>
      </c>
      <c r="E515" s="153" t="s">
        <v>19</v>
      </c>
      <c r="F515" s="154" t="s">
        <v>905</v>
      </c>
      <c r="H515" s="155">
        <v>118.915</v>
      </c>
      <c r="I515" s="156"/>
      <c r="L515" s="152"/>
      <c r="M515" s="157"/>
      <c r="T515" s="158"/>
      <c r="AT515" s="153" t="s">
        <v>249</v>
      </c>
      <c r="AU515" s="153" t="s">
        <v>86</v>
      </c>
      <c r="AV515" s="12" t="s">
        <v>86</v>
      </c>
      <c r="AW515" s="12" t="s">
        <v>37</v>
      </c>
      <c r="AX515" s="12" t="s">
        <v>76</v>
      </c>
      <c r="AY515" s="153" t="s">
        <v>144</v>
      </c>
    </row>
    <row r="516" spans="2:51" s="13" customFormat="1" ht="12">
      <c r="B516" s="159"/>
      <c r="D516" s="145" t="s">
        <v>249</v>
      </c>
      <c r="E516" s="160" t="s">
        <v>19</v>
      </c>
      <c r="F516" s="161" t="s">
        <v>251</v>
      </c>
      <c r="H516" s="162">
        <v>146.443</v>
      </c>
      <c r="I516" s="163"/>
      <c r="L516" s="159"/>
      <c r="M516" s="164"/>
      <c r="T516" s="165"/>
      <c r="AT516" s="160" t="s">
        <v>249</v>
      </c>
      <c r="AU516" s="160" t="s">
        <v>86</v>
      </c>
      <c r="AV516" s="13" t="s">
        <v>166</v>
      </c>
      <c r="AW516" s="13" t="s">
        <v>37</v>
      </c>
      <c r="AX516" s="13" t="s">
        <v>84</v>
      </c>
      <c r="AY516" s="160" t="s">
        <v>144</v>
      </c>
    </row>
    <row r="517" spans="2:65" s="1" customFormat="1" ht="36.6" customHeight="1">
      <c r="B517" s="33"/>
      <c r="C517" s="128" t="s">
        <v>906</v>
      </c>
      <c r="D517" s="128" t="s">
        <v>147</v>
      </c>
      <c r="E517" s="129" t="s">
        <v>907</v>
      </c>
      <c r="F517" s="130" t="s">
        <v>893</v>
      </c>
      <c r="G517" s="131" t="s">
        <v>413</v>
      </c>
      <c r="H517" s="132">
        <v>2782.417</v>
      </c>
      <c r="I517" s="133"/>
      <c r="J517" s="134">
        <f>ROUND(I517*H517,2)</f>
        <v>0</v>
      </c>
      <c r="K517" s="130" t="s">
        <v>151</v>
      </c>
      <c r="L517" s="33"/>
      <c r="M517" s="135" t="s">
        <v>19</v>
      </c>
      <c r="N517" s="136" t="s">
        <v>47</v>
      </c>
      <c r="P517" s="137">
        <f>O517*H517</f>
        <v>0</v>
      </c>
      <c r="Q517" s="137">
        <v>0</v>
      </c>
      <c r="R517" s="137">
        <f>Q517*H517</f>
        <v>0</v>
      </c>
      <c r="S517" s="137">
        <v>0</v>
      </c>
      <c r="T517" s="138">
        <f>S517*H517</f>
        <v>0</v>
      </c>
      <c r="AR517" s="139" t="s">
        <v>166</v>
      </c>
      <c r="AT517" s="139" t="s">
        <v>147</v>
      </c>
      <c r="AU517" s="139" t="s">
        <v>86</v>
      </c>
      <c r="AY517" s="18" t="s">
        <v>144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8" t="s">
        <v>84</v>
      </c>
      <c r="BK517" s="140">
        <f>ROUND(I517*H517,2)</f>
        <v>0</v>
      </c>
      <c r="BL517" s="18" t="s">
        <v>166</v>
      </c>
      <c r="BM517" s="139" t="s">
        <v>908</v>
      </c>
    </row>
    <row r="518" spans="2:47" s="1" customFormat="1" ht="12">
      <c r="B518" s="33"/>
      <c r="D518" s="141" t="s">
        <v>154</v>
      </c>
      <c r="F518" s="142" t="s">
        <v>909</v>
      </c>
      <c r="I518" s="143"/>
      <c r="L518" s="33"/>
      <c r="M518" s="144"/>
      <c r="T518" s="54"/>
      <c r="AT518" s="18" t="s">
        <v>154</v>
      </c>
      <c r="AU518" s="18" t="s">
        <v>86</v>
      </c>
    </row>
    <row r="519" spans="2:51" s="12" customFormat="1" ht="12">
      <c r="B519" s="152"/>
      <c r="D519" s="145" t="s">
        <v>249</v>
      </c>
      <c r="F519" s="154" t="s">
        <v>910</v>
      </c>
      <c r="H519" s="155">
        <v>2782.417</v>
      </c>
      <c r="I519" s="156"/>
      <c r="L519" s="152"/>
      <c r="M519" s="157"/>
      <c r="T519" s="158"/>
      <c r="AT519" s="153" t="s">
        <v>249</v>
      </c>
      <c r="AU519" s="153" t="s">
        <v>86</v>
      </c>
      <c r="AV519" s="12" t="s">
        <v>86</v>
      </c>
      <c r="AW519" s="12" t="s">
        <v>4</v>
      </c>
      <c r="AX519" s="12" t="s">
        <v>84</v>
      </c>
      <c r="AY519" s="153" t="s">
        <v>144</v>
      </c>
    </row>
    <row r="520" spans="2:65" s="1" customFormat="1" ht="42.6" customHeight="1">
      <c r="B520" s="33"/>
      <c r="C520" s="128" t="s">
        <v>911</v>
      </c>
      <c r="D520" s="128" t="s">
        <v>147</v>
      </c>
      <c r="E520" s="129" t="s">
        <v>912</v>
      </c>
      <c r="F520" s="130" t="s">
        <v>913</v>
      </c>
      <c r="G520" s="131" t="s">
        <v>413</v>
      </c>
      <c r="H520" s="132">
        <v>190.843</v>
      </c>
      <c r="I520" s="133"/>
      <c r="J520" s="134">
        <f>ROUND(I520*H520,2)</f>
        <v>0</v>
      </c>
      <c r="K520" s="130" t="s">
        <v>151</v>
      </c>
      <c r="L520" s="33"/>
      <c r="M520" s="135" t="s">
        <v>19</v>
      </c>
      <c r="N520" s="136" t="s">
        <v>47</v>
      </c>
      <c r="P520" s="137">
        <f>O520*H520</f>
        <v>0</v>
      </c>
      <c r="Q520" s="137">
        <v>0</v>
      </c>
      <c r="R520" s="137">
        <f>Q520*H520</f>
        <v>0</v>
      </c>
      <c r="S520" s="137">
        <v>0</v>
      </c>
      <c r="T520" s="138">
        <f>S520*H520</f>
        <v>0</v>
      </c>
      <c r="AR520" s="139" t="s">
        <v>166</v>
      </c>
      <c r="AT520" s="139" t="s">
        <v>147</v>
      </c>
      <c r="AU520" s="139" t="s">
        <v>86</v>
      </c>
      <c r="AY520" s="18" t="s">
        <v>144</v>
      </c>
      <c r="BE520" s="140">
        <f>IF(N520="základní",J520,0)</f>
        <v>0</v>
      </c>
      <c r="BF520" s="140">
        <f>IF(N520="snížená",J520,0)</f>
        <v>0</v>
      </c>
      <c r="BG520" s="140">
        <f>IF(N520="zákl. přenesená",J520,0)</f>
        <v>0</v>
      </c>
      <c r="BH520" s="140">
        <f>IF(N520="sníž. přenesená",J520,0)</f>
        <v>0</v>
      </c>
      <c r="BI520" s="140">
        <f>IF(N520="nulová",J520,0)</f>
        <v>0</v>
      </c>
      <c r="BJ520" s="18" t="s">
        <v>84</v>
      </c>
      <c r="BK520" s="140">
        <f>ROUND(I520*H520,2)</f>
        <v>0</v>
      </c>
      <c r="BL520" s="18" t="s">
        <v>166</v>
      </c>
      <c r="BM520" s="139" t="s">
        <v>914</v>
      </c>
    </row>
    <row r="521" spans="2:47" s="1" customFormat="1" ht="12">
      <c r="B521" s="33"/>
      <c r="D521" s="141" t="s">
        <v>154</v>
      </c>
      <c r="F521" s="142" t="s">
        <v>915</v>
      </c>
      <c r="I521" s="143"/>
      <c r="L521" s="33"/>
      <c r="M521" s="144"/>
      <c r="T521" s="54"/>
      <c r="AT521" s="18" t="s">
        <v>154</v>
      </c>
      <c r="AU521" s="18" t="s">
        <v>86</v>
      </c>
    </row>
    <row r="522" spans="2:51" s="12" customFormat="1" ht="12">
      <c r="B522" s="152"/>
      <c r="D522" s="145" t="s">
        <v>249</v>
      </c>
      <c r="E522" s="153" t="s">
        <v>19</v>
      </c>
      <c r="F522" s="154" t="s">
        <v>902</v>
      </c>
      <c r="H522" s="155">
        <v>10.2</v>
      </c>
      <c r="I522" s="156"/>
      <c r="L522" s="152"/>
      <c r="M522" s="157"/>
      <c r="T522" s="158"/>
      <c r="AT522" s="153" t="s">
        <v>249</v>
      </c>
      <c r="AU522" s="153" t="s">
        <v>86</v>
      </c>
      <c r="AV522" s="12" t="s">
        <v>86</v>
      </c>
      <c r="AW522" s="12" t="s">
        <v>37</v>
      </c>
      <c r="AX522" s="12" t="s">
        <v>76</v>
      </c>
      <c r="AY522" s="153" t="s">
        <v>144</v>
      </c>
    </row>
    <row r="523" spans="2:51" s="12" customFormat="1" ht="12">
      <c r="B523" s="152"/>
      <c r="D523" s="145" t="s">
        <v>249</v>
      </c>
      <c r="E523" s="153" t="s">
        <v>19</v>
      </c>
      <c r="F523" s="154" t="s">
        <v>903</v>
      </c>
      <c r="H523" s="155">
        <v>16.8</v>
      </c>
      <c r="I523" s="156"/>
      <c r="L523" s="152"/>
      <c r="M523" s="157"/>
      <c r="T523" s="158"/>
      <c r="AT523" s="153" t="s">
        <v>249</v>
      </c>
      <c r="AU523" s="153" t="s">
        <v>86</v>
      </c>
      <c r="AV523" s="12" t="s">
        <v>86</v>
      </c>
      <c r="AW523" s="12" t="s">
        <v>37</v>
      </c>
      <c r="AX523" s="12" t="s">
        <v>76</v>
      </c>
      <c r="AY523" s="153" t="s">
        <v>144</v>
      </c>
    </row>
    <row r="524" spans="2:51" s="12" customFormat="1" ht="12">
      <c r="B524" s="152"/>
      <c r="D524" s="145" t="s">
        <v>249</v>
      </c>
      <c r="E524" s="153" t="s">
        <v>19</v>
      </c>
      <c r="F524" s="154" t="s">
        <v>916</v>
      </c>
      <c r="H524" s="155">
        <v>0.528</v>
      </c>
      <c r="I524" s="156"/>
      <c r="L524" s="152"/>
      <c r="M524" s="157"/>
      <c r="T524" s="158"/>
      <c r="AT524" s="153" t="s">
        <v>249</v>
      </c>
      <c r="AU524" s="153" t="s">
        <v>86</v>
      </c>
      <c r="AV524" s="12" t="s">
        <v>86</v>
      </c>
      <c r="AW524" s="12" t="s">
        <v>37</v>
      </c>
      <c r="AX524" s="12" t="s">
        <v>76</v>
      </c>
      <c r="AY524" s="153" t="s">
        <v>144</v>
      </c>
    </row>
    <row r="525" spans="2:51" s="12" customFormat="1" ht="12">
      <c r="B525" s="152"/>
      <c r="D525" s="145" t="s">
        <v>249</v>
      </c>
      <c r="E525" s="153" t="s">
        <v>19</v>
      </c>
      <c r="F525" s="154" t="s">
        <v>905</v>
      </c>
      <c r="H525" s="155">
        <v>118.915</v>
      </c>
      <c r="I525" s="156"/>
      <c r="L525" s="152"/>
      <c r="M525" s="157"/>
      <c r="T525" s="158"/>
      <c r="AT525" s="153" t="s">
        <v>249</v>
      </c>
      <c r="AU525" s="153" t="s">
        <v>86</v>
      </c>
      <c r="AV525" s="12" t="s">
        <v>86</v>
      </c>
      <c r="AW525" s="12" t="s">
        <v>37</v>
      </c>
      <c r="AX525" s="12" t="s">
        <v>76</v>
      </c>
      <c r="AY525" s="153" t="s">
        <v>144</v>
      </c>
    </row>
    <row r="526" spans="2:51" s="12" customFormat="1" ht="12">
      <c r="B526" s="152"/>
      <c r="D526" s="145" t="s">
        <v>249</v>
      </c>
      <c r="E526" s="153" t="s">
        <v>19</v>
      </c>
      <c r="F526" s="154" t="s">
        <v>917</v>
      </c>
      <c r="H526" s="155">
        <v>30</v>
      </c>
      <c r="I526" s="156"/>
      <c r="L526" s="152"/>
      <c r="M526" s="157"/>
      <c r="T526" s="158"/>
      <c r="AT526" s="153" t="s">
        <v>249</v>
      </c>
      <c r="AU526" s="153" t="s">
        <v>86</v>
      </c>
      <c r="AV526" s="12" t="s">
        <v>86</v>
      </c>
      <c r="AW526" s="12" t="s">
        <v>37</v>
      </c>
      <c r="AX526" s="12" t="s">
        <v>76</v>
      </c>
      <c r="AY526" s="153" t="s">
        <v>144</v>
      </c>
    </row>
    <row r="527" spans="2:51" s="12" customFormat="1" ht="20.4">
      <c r="B527" s="152"/>
      <c r="D527" s="145" t="s">
        <v>249</v>
      </c>
      <c r="E527" s="153" t="s">
        <v>19</v>
      </c>
      <c r="F527" s="154" t="s">
        <v>918</v>
      </c>
      <c r="H527" s="155">
        <v>14.4</v>
      </c>
      <c r="I527" s="156"/>
      <c r="L527" s="152"/>
      <c r="M527" s="157"/>
      <c r="T527" s="158"/>
      <c r="AT527" s="153" t="s">
        <v>249</v>
      </c>
      <c r="AU527" s="153" t="s">
        <v>86</v>
      </c>
      <c r="AV527" s="12" t="s">
        <v>86</v>
      </c>
      <c r="AW527" s="12" t="s">
        <v>37</v>
      </c>
      <c r="AX527" s="12" t="s">
        <v>76</v>
      </c>
      <c r="AY527" s="153" t="s">
        <v>144</v>
      </c>
    </row>
    <row r="528" spans="2:51" s="13" customFormat="1" ht="12">
      <c r="B528" s="159"/>
      <c r="D528" s="145" t="s">
        <v>249</v>
      </c>
      <c r="E528" s="160" t="s">
        <v>19</v>
      </c>
      <c r="F528" s="161" t="s">
        <v>251</v>
      </c>
      <c r="H528" s="162">
        <v>190.843</v>
      </c>
      <c r="I528" s="163"/>
      <c r="L528" s="159"/>
      <c r="M528" s="164"/>
      <c r="T528" s="165"/>
      <c r="AT528" s="160" t="s">
        <v>249</v>
      </c>
      <c r="AU528" s="160" t="s">
        <v>86</v>
      </c>
      <c r="AV528" s="13" t="s">
        <v>166</v>
      </c>
      <c r="AW528" s="13" t="s">
        <v>37</v>
      </c>
      <c r="AX528" s="13" t="s">
        <v>84</v>
      </c>
      <c r="AY528" s="160" t="s">
        <v>144</v>
      </c>
    </row>
    <row r="529" spans="2:65" s="1" customFormat="1" ht="42.6" customHeight="1">
      <c r="B529" s="33"/>
      <c r="C529" s="128" t="s">
        <v>919</v>
      </c>
      <c r="D529" s="128" t="s">
        <v>147</v>
      </c>
      <c r="E529" s="129" t="s">
        <v>920</v>
      </c>
      <c r="F529" s="130" t="s">
        <v>921</v>
      </c>
      <c r="G529" s="131" t="s">
        <v>413</v>
      </c>
      <c r="H529" s="132">
        <v>1342.08</v>
      </c>
      <c r="I529" s="133"/>
      <c r="J529" s="134">
        <f>ROUND(I529*H529,2)</f>
        <v>0</v>
      </c>
      <c r="K529" s="130" t="s">
        <v>151</v>
      </c>
      <c r="L529" s="33"/>
      <c r="M529" s="135" t="s">
        <v>19</v>
      </c>
      <c r="N529" s="136" t="s">
        <v>47</v>
      </c>
      <c r="P529" s="137">
        <f>O529*H529</f>
        <v>0</v>
      </c>
      <c r="Q529" s="137">
        <v>0</v>
      </c>
      <c r="R529" s="137">
        <f>Q529*H529</f>
        <v>0</v>
      </c>
      <c r="S529" s="137">
        <v>0</v>
      </c>
      <c r="T529" s="138">
        <f>S529*H529</f>
        <v>0</v>
      </c>
      <c r="AR529" s="139" t="s">
        <v>166</v>
      </c>
      <c r="AT529" s="139" t="s">
        <v>147</v>
      </c>
      <c r="AU529" s="139" t="s">
        <v>86</v>
      </c>
      <c r="AY529" s="18" t="s">
        <v>144</v>
      </c>
      <c r="BE529" s="140">
        <f>IF(N529="základní",J529,0)</f>
        <v>0</v>
      </c>
      <c r="BF529" s="140">
        <f>IF(N529="snížená",J529,0)</f>
        <v>0</v>
      </c>
      <c r="BG529" s="140">
        <f>IF(N529="zákl. přenesená",J529,0)</f>
        <v>0</v>
      </c>
      <c r="BH529" s="140">
        <f>IF(N529="sníž. přenesená",J529,0)</f>
        <v>0</v>
      </c>
      <c r="BI529" s="140">
        <f>IF(N529="nulová",J529,0)</f>
        <v>0</v>
      </c>
      <c r="BJ529" s="18" t="s">
        <v>84</v>
      </c>
      <c r="BK529" s="140">
        <f>ROUND(I529*H529,2)</f>
        <v>0</v>
      </c>
      <c r="BL529" s="18" t="s">
        <v>166</v>
      </c>
      <c r="BM529" s="139" t="s">
        <v>922</v>
      </c>
    </row>
    <row r="530" spans="2:47" s="1" customFormat="1" ht="12">
      <c r="B530" s="33"/>
      <c r="D530" s="141" t="s">
        <v>154</v>
      </c>
      <c r="F530" s="142" t="s">
        <v>923</v>
      </c>
      <c r="I530" s="143"/>
      <c r="L530" s="33"/>
      <c r="M530" s="144"/>
      <c r="T530" s="54"/>
      <c r="AT530" s="18" t="s">
        <v>154</v>
      </c>
      <c r="AU530" s="18" t="s">
        <v>86</v>
      </c>
    </row>
    <row r="531" spans="2:51" s="12" customFormat="1" ht="12">
      <c r="B531" s="152"/>
      <c r="D531" s="145" t="s">
        <v>249</v>
      </c>
      <c r="E531" s="153" t="s">
        <v>19</v>
      </c>
      <c r="F531" s="154" t="s">
        <v>924</v>
      </c>
      <c r="H531" s="155">
        <v>1342.08</v>
      </c>
      <c r="I531" s="156"/>
      <c r="L531" s="152"/>
      <c r="M531" s="157"/>
      <c r="T531" s="158"/>
      <c r="AT531" s="153" t="s">
        <v>249</v>
      </c>
      <c r="AU531" s="153" t="s">
        <v>86</v>
      </c>
      <c r="AV531" s="12" t="s">
        <v>86</v>
      </c>
      <c r="AW531" s="12" t="s">
        <v>37</v>
      </c>
      <c r="AX531" s="12" t="s">
        <v>76</v>
      </c>
      <c r="AY531" s="153" t="s">
        <v>144</v>
      </c>
    </row>
    <row r="532" spans="2:51" s="13" customFormat="1" ht="12">
      <c r="B532" s="159"/>
      <c r="D532" s="145" t="s">
        <v>249</v>
      </c>
      <c r="E532" s="160" t="s">
        <v>19</v>
      </c>
      <c r="F532" s="161" t="s">
        <v>251</v>
      </c>
      <c r="H532" s="162">
        <v>1342.08</v>
      </c>
      <c r="I532" s="163"/>
      <c r="L532" s="159"/>
      <c r="M532" s="164"/>
      <c r="T532" s="165"/>
      <c r="AT532" s="160" t="s">
        <v>249</v>
      </c>
      <c r="AU532" s="160" t="s">
        <v>86</v>
      </c>
      <c r="AV532" s="13" t="s">
        <v>166</v>
      </c>
      <c r="AW532" s="13" t="s">
        <v>37</v>
      </c>
      <c r="AX532" s="13" t="s">
        <v>84</v>
      </c>
      <c r="AY532" s="160" t="s">
        <v>144</v>
      </c>
    </row>
    <row r="533" spans="2:65" s="1" customFormat="1" ht="42.6" customHeight="1">
      <c r="B533" s="33"/>
      <c r="C533" s="128" t="s">
        <v>925</v>
      </c>
      <c r="D533" s="128" t="s">
        <v>147</v>
      </c>
      <c r="E533" s="129" t="s">
        <v>926</v>
      </c>
      <c r="F533" s="130" t="s">
        <v>927</v>
      </c>
      <c r="G533" s="131" t="s">
        <v>413</v>
      </c>
      <c r="H533" s="132">
        <v>364.095</v>
      </c>
      <c r="I533" s="133"/>
      <c r="J533" s="134">
        <f>ROUND(I533*H533,2)</f>
        <v>0</v>
      </c>
      <c r="K533" s="130" t="s">
        <v>151</v>
      </c>
      <c r="L533" s="33"/>
      <c r="M533" s="135" t="s">
        <v>19</v>
      </c>
      <c r="N533" s="136" t="s">
        <v>47</v>
      </c>
      <c r="P533" s="137">
        <f>O533*H533</f>
        <v>0</v>
      </c>
      <c r="Q533" s="137">
        <v>0</v>
      </c>
      <c r="R533" s="137">
        <f>Q533*H533</f>
        <v>0</v>
      </c>
      <c r="S533" s="137">
        <v>0</v>
      </c>
      <c r="T533" s="138">
        <f>S533*H533</f>
        <v>0</v>
      </c>
      <c r="AR533" s="139" t="s">
        <v>166</v>
      </c>
      <c r="AT533" s="139" t="s">
        <v>147</v>
      </c>
      <c r="AU533" s="139" t="s">
        <v>86</v>
      </c>
      <c r="AY533" s="18" t="s">
        <v>144</v>
      </c>
      <c r="BE533" s="140">
        <f>IF(N533="základní",J533,0)</f>
        <v>0</v>
      </c>
      <c r="BF533" s="140">
        <f>IF(N533="snížená",J533,0)</f>
        <v>0</v>
      </c>
      <c r="BG533" s="140">
        <f>IF(N533="zákl. přenesená",J533,0)</f>
        <v>0</v>
      </c>
      <c r="BH533" s="140">
        <f>IF(N533="sníž. přenesená",J533,0)</f>
        <v>0</v>
      </c>
      <c r="BI533" s="140">
        <f>IF(N533="nulová",J533,0)</f>
        <v>0</v>
      </c>
      <c r="BJ533" s="18" t="s">
        <v>84</v>
      </c>
      <c r="BK533" s="140">
        <f>ROUND(I533*H533,2)</f>
        <v>0</v>
      </c>
      <c r="BL533" s="18" t="s">
        <v>166</v>
      </c>
      <c r="BM533" s="139" t="s">
        <v>928</v>
      </c>
    </row>
    <row r="534" spans="2:47" s="1" customFormat="1" ht="12">
      <c r="B534" s="33"/>
      <c r="D534" s="141" t="s">
        <v>154</v>
      </c>
      <c r="F534" s="142" t="s">
        <v>929</v>
      </c>
      <c r="I534" s="143"/>
      <c r="L534" s="33"/>
      <c r="M534" s="144"/>
      <c r="T534" s="54"/>
      <c r="AT534" s="18" t="s">
        <v>154</v>
      </c>
      <c r="AU534" s="18" t="s">
        <v>86</v>
      </c>
    </row>
    <row r="535" spans="2:51" s="12" customFormat="1" ht="20.4">
      <c r="B535" s="152"/>
      <c r="D535" s="145" t="s">
        <v>249</v>
      </c>
      <c r="E535" s="153" t="s">
        <v>19</v>
      </c>
      <c r="F535" s="154" t="s">
        <v>887</v>
      </c>
      <c r="H535" s="155">
        <v>51</v>
      </c>
      <c r="I535" s="156"/>
      <c r="L535" s="152"/>
      <c r="M535" s="157"/>
      <c r="T535" s="158"/>
      <c r="AT535" s="153" t="s">
        <v>249</v>
      </c>
      <c r="AU535" s="153" t="s">
        <v>86</v>
      </c>
      <c r="AV535" s="12" t="s">
        <v>86</v>
      </c>
      <c r="AW535" s="12" t="s">
        <v>37</v>
      </c>
      <c r="AX535" s="12" t="s">
        <v>76</v>
      </c>
      <c r="AY535" s="153" t="s">
        <v>144</v>
      </c>
    </row>
    <row r="536" spans="2:51" s="12" customFormat="1" ht="20.4">
      <c r="B536" s="152"/>
      <c r="D536" s="145" t="s">
        <v>249</v>
      </c>
      <c r="E536" s="153" t="s">
        <v>19</v>
      </c>
      <c r="F536" s="154" t="s">
        <v>888</v>
      </c>
      <c r="H536" s="155">
        <v>25.48</v>
      </c>
      <c r="I536" s="156"/>
      <c r="L536" s="152"/>
      <c r="M536" s="157"/>
      <c r="T536" s="158"/>
      <c r="AT536" s="153" t="s">
        <v>249</v>
      </c>
      <c r="AU536" s="153" t="s">
        <v>86</v>
      </c>
      <c r="AV536" s="12" t="s">
        <v>86</v>
      </c>
      <c r="AW536" s="12" t="s">
        <v>37</v>
      </c>
      <c r="AX536" s="12" t="s">
        <v>76</v>
      </c>
      <c r="AY536" s="153" t="s">
        <v>144</v>
      </c>
    </row>
    <row r="537" spans="2:51" s="12" customFormat="1" ht="20.4">
      <c r="B537" s="152"/>
      <c r="D537" s="145" t="s">
        <v>249</v>
      </c>
      <c r="E537" s="153" t="s">
        <v>19</v>
      </c>
      <c r="F537" s="154" t="s">
        <v>889</v>
      </c>
      <c r="H537" s="155">
        <v>287.615</v>
      </c>
      <c r="I537" s="156"/>
      <c r="L537" s="152"/>
      <c r="M537" s="157"/>
      <c r="T537" s="158"/>
      <c r="AT537" s="153" t="s">
        <v>249</v>
      </c>
      <c r="AU537" s="153" t="s">
        <v>86</v>
      </c>
      <c r="AV537" s="12" t="s">
        <v>86</v>
      </c>
      <c r="AW537" s="12" t="s">
        <v>37</v>
      </c>
      <c r="AX537" s="12" t="s">
        <v>76</v>
      </c>
      <c r="AY537" s="153" t="s">
        <v>144</v>
      </c>
    </row>
    <row r="538" spans="2:51" s="13" customFormat="1" ht="12">
      <c r="B538" s="159"/>
      <c r="D538" s="145" t="s">
        <v>249</v>
      </c>
      <c r="E538" s="160" t="s">
        <v>19</v>
      </c>
      <c r="F538" s="161" t="s">
        <v>251</v>
      </c>
      <c r="H538" s="162">
        <v>364.095</v>
      </c>
      <c r="I538" s="163"/>
      <c r="L538" s="159"/>
      <c r="M538" s="164"/>
      <c r="T538" s="165"/>
      <c r="AT538" s="160" t="s">
        <v>249</v>
      </c>
      <c r="AU538" s="160" t="s">
        <v>86</v>
      </c>
      <c r="AV538" s="13" t="s">
        <v>166</v>
      </c>
      <c r="AW538" s="13" t="s">
        <v>37</v>
      </c>
      <c r="AX538" s="13" t="s">
        <v>84</v>
      </c>
      <c r="AY538" s="160" t="s">
        <v>144</v>
      </c>
    </row>
    <row r="539" spans="2:63" s="11" customFormat="1" ht="22.8" customHeight="1">
      <c r="B539" s="116"/>
      <c r="D539" s="117" t="s">
        <v>75</v>
      </c>
      <c r="E539" s="126" t="s">
        <v>930</v>
      </c>
      <c r="F539" s="126" t="s">
        <v>931</v>
      </c>
      <c r="I539" s="119"/>
      <c r="J539" s="127">
        <f>BK539</f>
        <v>0</v>
      </c>
      <c r="L539" s="116"/>
      <c r="M539" s="121"/>
      <c r="P539" s="122">
        <f>SUM(P540:P541)</f>
        <v>0</v>
      </c>
      <c r="R539" s="122">
        <f>SUM(R540:R541)</f>
        <v>0</v>
      </c>
      <c r="T539" s="123">
        <f>SUM(T540:T541)</f>
        <v>0</v>
      </c>
      <c r="AR539" s="117" t="s">
        <v>84</v>
      </c>
      <c r="AT539" s="124" t="s">
        <v>75</v>
      </c>
      <c r="AU539" s="124" t="s">
        <v>84</v>
      </c>
      <c r="AY539" s="117" t="s">
        <v>144</v>
      </c>
      <c r="BK539" s="125">
        <f>SUM(BK540:BK541)</f>
        <v>0</v>
      </c>
    </row>
    <row r="540" spans="2:65" s="1" customFormat="1" ht="36.6" customHeight="1">
      <c r="B540" s="33"/>
      <c r="C540" s="128" t="s">
        <v>932</v>
      </c>
      <c r="D540" s="128" t="s">
        <v>147</v>
      </c>
      <c r="E540" s="129" t="s">
        <v>933</v>
      </c>
      <c r="F540" s="130" t="s">
        <v>934</v>
      </c>
      <c r="G540" s="131" t="s">
        <v>413</v>
      </c>
      <c r="H540" s="132">
        <v>1050.974</v>
      </c>
      <c r="I540" s="133"/>
      <c r="J540" s="134">
        <f>ROUND(I540*H540,2)</f>
        <v>0</v>
      </c>
      <c r="K540" s="130" t="s">
        <v>151</v>
      </c>
      <c r="L540" s="33"/>
      <c r="M540" s="135" t="s">
        <v>19</v>
      </c>
      <c r="N540" s="136" t="s">
        <v>47</v>
      </c>
      <c r="P540" s="137">
        <f>O540*H540</f>
        <v>0</v>
      </c>
      <c r="Q540" s="137">
        <v>0</v>
      </c>
      <c r="R540" s="137">
        <f>Q540*H540</f>
        <v>0</v>
      </c>
      <c r="S540" s="137">
        <v>0</v>
      </c>
      <c r="T540" s="138">
        <f>S540*H540</f>
        <v>0</v>
      </c>
      <c r="AR540" s="139" t="s">
        <v>166</v>
      </c>
      <c r="AT540" s="139" t="s">
        <v>147</v>
      </c>
      <c r="AU540" s="139" t="s">
        <v>86</v>
      </c>
      <c r="AY540" s="18" t="s">
        <v>144</v>
      </c>
      <c r="BE540" s="140">
        <f>IF(N540="základní",J540,0)</f>
        <v>0</v>
      </c>
      <c r="BF540" s="140">
        <f>IF(N540="snížená",J540,0)</f>
        <v>0</v>
      </c>
      <c r="BG540" s="140">
        <f>IF(N540="zákl. přenesená",J540,0)</f>
        <v>0</v>
      </c>
      <c r="BH540" s="140">
        <f>IF(N540="sníž. přenesená",J540,0)</f>
        <v>0</v>
      </c>
      <c r="BI540" s="140">
        <f>IF(N540="nulová",J540,0)</f>
        <v>0</v>
      </c>
      <c r="BJ540" s="18" t="s">
        <v>84</v>
      </c>
      <c r="BK540" s="140">
        <f>ROUND(I540*H540,2)</f>
        <v>0</v>
      </c>
      <c r="BL540" s="18" t="s">
        <v>166</v>
      </c>
      <c r="BM540" s="139" t="s">
        <v>935</v>
      </c>
    </row>
    <row r="541" spans="2:47" s="1" customFormat="1" ht="12">
      <c r="B541" s="33"/>
      <c r="D541" s="141" t="s">
        <v>154</v>
      </c>
      <c r="F541" s="142" t="s">
        <v>936</v>
      </c>
      <c r="I541" s="143"/>
      <c r="L541" s="33"/>
      <c r="M541" s="144"/>
      <c r="T541" s="54"/>
      <c r="AT541" s="18" t="s">
        <v>154</v>
      </c>
      <c r="AU541" s="18" t="s">
        <v>86</v>
      </c>
    </row>
    <row r="542" spans="2:63" s="11" customFormat="1" ht="25.8" customHeight="1">
      <c r="B542" s="116"/>
      <c r="D542" s="117" t="s">
        <v>75</v>
      </c>
      <c r="E542" s="118" t="s">
        <v>937</v>
      </c>
      <c r="F542" s="118" t="s">
        <v>938</v>
      </c>
      <c r="I542" s="119"/>
      <c r="J542" s="120">
        <f>BK542</f>
        <v>0</v>
      </c>
      <c r="L542" s="116"/>
      <c r="M542" s="121"/>
      <c r="P542" s="122">
        <f>P543</f>
        <v>0</v>
      </c>
      <c r="R542" s="122">
        <f>R543</f>
        <v>0</v>
      </c>
      <c r="T542" s="123">
        <f>T543</f>
        <v>0.0635</v>
      </c>
      <c r="AR542" s="117" t="s">
        <v>86</v>
      </c>
      <c r="AT542" s="124" t="s">
        <v>75</v>
      </c>
      <c r="AU542" s="124" t="s">
        <v>76</v>
      </c>
      <c r="AY542" s="117" t="s">
        <v>144</v>
      </c>
      <c r="BK542" s="125">
        <f>BK543</f>
        <v>0</v>
      </c>
    </row>
    <row r="543" spans="2:63" s="11" customFormat="1" ht="22.8" customHeight="1">
      <c r="B543" s="116"/>
      <c r="D543" s="117" t="s">
        <v>75</v>
      </c>
      <c r="E543" s="126" t="s">
        <v>939</v>
      </c>
      <c r="F543" s="126" t="s">
        <v>940</v>
      </c>
      <c r="I543" s="119"/>
      <c r="J543" s="127">
        <f>BK543</f>
        <v>0</v>
      </c>
      <c r="L543" s="116"/>
      <c r="M543" s="121"/>
      <c r="P543" s="122">
        <f>SUM(P544:P547)</f>
        <v>0</v>
      </c>
      <c r="R543" s="122">
        <f>SUM(R544:R547)</f>
        <v>0</v>
      </c>
      <c r="T543" s="123">
        <f>SUM(T544:T547)</f>
        <v>0.0635</v>
      </c>
      <c r="AR543" s="117" t="s">
        <v>86</v>
      </c>
      <c r="AT543" s="124" t="s">
        <v>75</v>
      </c>
      <c r="AU543" s="124" t="s">
        <v>84</v>
      </c>
      <c r="AY543" s="117" t="s">
        <v>144</v>
      </c>
      <c r="BK543" s="125">
        <f>SUM(BK544:BK547)</f>
        <v>0</v>
      </c>
    </row>
    <row r="544" spans="2:65" s="1" customFormat="1" ht="23.7" customHeight="1">
      <c r="B544" s="33"/>
      <c r="C544" s="128" t="s">
        <v>941</v>
      </c>
      <c r="D544" s="128" t="s">
        <v>147</v>
      </c>
      <c r="E544" s="129" t="s">
        <v>942</v>
      </c>
      <c r="F544" s="130" t="s">
        <v>943</v>
      </c>
      <c r="G544" s="131" t="s">
        <v>944</v>
      </c>
      <c r="H544" s="132">
        <v>63.5</v>
      </c>
      <c r="I544" s="133"/>
      <c r="J544" s="134">
        <f>ROUND(I544*H544,2)</f>
        <v>0</v>
      </c>
      <c r="K544" s="130" t="s">
        <v>151</v>
      </c>
      <c r="L544" s="33"/>
      <c r="M544" s="135" t="s">
        <v>19</v>
      </c>
      <c r="N544" s="136" t="s">
        <v>47</v>
      </c>
      <c r="P544" s="137">
        <f>O544*H544</f>
        <v>0</v>
      </c>
      <c r="Q544" s="137">
        <v>0</v>
      </c>
      <c r="R544" s="137">
        <f>Q544*H544</f>
        <v>0</v>
      </c>
      <c r="S544" s="137">
        <v>0.001</v>
      </c>
      <c r="T544" s="138">
        <f>S544*H544</f>
        <v>0.0635</v>
      </c>
      <c r="AR544" s="139" t="s">
        <v>330</v>
      </c>
      <c r="AT544" s="139" t="s">
        <v>147</v>
      </c>
      <c r="AU544" s="139" t="s">
        <v>86</v>
      </c>
      <c r="AY544" s="18" t="s">
        <v>144</v>
      </c>
      <c r="BE544" s="140">
        <f>IF(N544="základní",J544,0)</f>
        <v>0</v>
      </c>
      <c r="BF544" s="140">
        <f>IF(N544="snížená",J544,0)</f>
        <v>0</v>
      </c>
      <c r="BG544" s="140">
        <f>IF(N544="zákl. přenesená",J544,0)</f>
        <v>0</v>
      </c>
      <c r="BH544" s="140">
        <f>IF(N544="sníž. přenesená",J544,0)</f>
        <v>0</v>
      </c>
      <c r="BI544" s="140">
        <f>IF(N544="nulová",J544,0)</f>
        <v>0</v>
      </c>
      <c r="BJ544" s="18" t="s">
        <v>84</v>
      </c>
      <c r="BK544" s="140">
        <f>ROUND(I544*H544,2)</f>
        <v>0</v>
      </c>
      <c r="BL544" s="18" t="s">
        <v>330</v>
      </c>
      <c r="BM544" s="139" t="s">
        <v>945</v>
      </c>
    </row>
    <row r="545" spans="2:47" s="1" customFormat="1" ht="12">
      <c r="B545" s="33"/>
      <c r="D545" s="141" t="s">
        <v>154</v>
      </c>
      <c r="F545" s="142" t="s">
        <v>946</v>
      </c>
      <c r="I545" s="143"/>
      <c r="L545" s="33"/>
      <c r="M545" s="144"/>
      <c r="T545" s="54"/>
      <c r="AT545" s="18" t="s">
        <v>154</v>
      </c>
      <c r="AU545" s="18" t="s">
        <v>86</v>
      </c>
    </row>
    <row r="546" spans="2:51" s="12" customFormat="1" ht="12">
      <c r="B546" s="152"/>
      <c r="D546" s="145" t="s">
        <v>249</v>
      </c>
      <c r="E546" s="153" t="s">
        <v>19</v>
      </c>
      <c r="F546" s="154" t="s">
        <v>947</v>
      </c>
      <c r="H546" s="155">
        <v>63.5</v>
      </c>
      <c r="I546" s="156"/>
      <c r="L546" s="152"/>
      <c r="M546" s="157"/>
      <c r="T546" s="158"/>
      <c r="AT546" s="153" t="s">
        <v>249</v>
      </c>
      <c r="AU546" s="153" t="s">
        <v>86</v>
      </c>
      <c r="AV546" s="12" t="s">
        <v>86</v>
      </c>
      <c r="AW546" s="12" t="s">
        <v>37</v>
      </c>
      <c r="AX546" s="12" t="s">
        <v>76</v>
      </c>
      <c r="AY546" s="153" t="s">
        <v>144</v>
      </c>
    </row>
    <row r="547" spans="2:51" s="13" customFormat="1" ht="12">
      <c r="B547" s="159"/>
      <c r="D547" s="145" t="s">
        <v>249</v>
      </c>
      <c r="E547" s="160" t="s">
        <v>19</v>
      </c>
      <c r="F547" s="161" t="s">
        <v>251</v>
      </c>
      <c r="H547" s="162">
        <v>63.5</v>
      </c>
      <c r="I547" s="163"/>
      <c r="L547" s="159"/>
      <c r="M547" s="189"/>
      <c r="N547" s="190"/>
      <c r="O547" s="190"/>
      <c r="P547" s="190"/>
      <c r="Q547" s="190"/>
      <c r="R547" s="190"/>
      <c r="S547" s="190"/>
      <c r="T547" s="191"/>
      <c r="AT547" s="160" t="s">
        <v>249</v>
      </c>
      <c r="AU547" s="160" t="s">
        <v>86</v>
      </c>
      <c r="AV547" s="13" t="s">
        <v>166</v>
      </c>
      <c r="AW547" s="13" t="s">
        <v>37</v>
      </c>
      <c r="AX547" s="13" t="s">
        <v>84</v>
      </c>
      <c r="AY547" s="160" t="s">
        <v>144</v>
      </c>
    </row>
    <row r="548" spans="2:12" s="1" customFormat="1" ht="6.9" customHeight="1">
      <c r="B548" s="42"/>
      <c r="C548" s="43"/>
      <c r="D548" s="43"/>
      <c r="E548" s="43"/>
      <c r="F548" s="43"/>
      <c r="G548" s="43"/>
      <c r="H548" s="43"/>
      <c r="I548" s="43"/>
      <c r="J548" s="43"/>
      <c r="K548" s="43"/>
      <c r="L548" s="33"/>
    </row>
  </sheetData>
  <sheetProtection algorithmName="SHA-512" hashValue="6SaBpWxn4v5FXEaVTBSLbPybKwwlsqAPIwmbYFAkvW8dRjirQb78akglHxfA3suxf6AW1nLejHVhRrOktD9guw==" saltValue="J5XIHSdV4JRUmCrIt3mPY9Xzq3N8R9xCGirA9Huoc7i2thL5pQknfhgS5ke2HkW328TH0+OhoM+jCL/SR01dVg==" spinCount="100000" sheet="1" objects="1" scenarios="1" formatColumns="0" formatRows="0" autoFilter="0"/>
  <autoFilter ref="C89:K547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2_02/111151121"/>
    <hyperlink ref="F98" r:id="rId2" display="https://podminky.urs.cz/item/CS_URS_2022_02/113106142"/>
    <hyperlink ref="F102" r:id="rId3" display="https://podminky.urs.cz/item/CS_URS_2022_02/113106190"/>
    <hyperlink ref="F106" r:id="rId4" display="https://podminky.urs.cz/item/CS_URS_2022_02/113107161"/>
    <hyperlink ref="F110" r:id="rId5" display="https://podminky.urs.cz/item/CS_URS_2022_02/113107162"/>
    <hyperlink ref="F114" r:id="rId6" display="https://podminky.urs.cz/item/CS_URS_2022_02/113107222"/>
    <hyperlink ref="F118" r:id="rId7" display="https://podminky.urs.cz/item/CS_URS_2022_02/113107223"/>
    <hyperlink ref="F123" r:id="rId8" display="https://podminky.urs.cz/item/CS_URS_2022_02/113107231"/>
    <hyperlink ref="F128" r:id="rId9" display="https://podminky.urs.cz/item/CS_URS_2022_02/113107241"/>
    <hyperlink ref="F132" r:id="rId10" display="https://podminky.urs.cz/item/CS_URS_2022_02/113154263"/>
    <hyperlink ref="F137" r:id="rId11" display="https://podminky.urs.cz/item/CS_URS_2022_02/113154264"/>
    <hyperlink ref="F142" r:id="rId12" display="https://podminky.urs.cz/item/CS_URS_2022_02/113201111"/>
    <hyperlink ref="F146" r:id="rId13" display="https://podminky.urs.cz/item/CS_URS_2022_02/113202111"/>
    <hyperlink ref="F149" r:id="rId14" display="https://podminky.urs.cz/item/CS_URS_2022_02/121151123"/>
    <hyperlink ref="F153" r:id="rId15" display="https://podminky.urs.cz/item/CS_URS_2022_02/122252204"/>
    <hyperlink ref="F159" r:id="rId16" display="https://podminky.urs.cz/item/CS_URS_2022_02/129951123"/>
    <hyperlink ref="F163" r:id="rId17" display="https://podminky.urs.cz/item/CS_URS_2022_02/131151102"/>
    <hyperlink ref="F168" r:id="rId18" display="https://podminky.urs.cz/item/CS_URS_2022_02/132251104"/>
    <hyperlink ref="F173" r:id="rId19" display="https://podminky.urs.cz/item/CS_URS_2022_02/162351103"/>
    <hyperlink ref="F183" r:id="rId20" display="https://podminky.urs.cz/item/CS_URS_2022_02/162751117"/>
    <hyperlink ref="F187" r:id="rId21" display="https://podminky.urs.cz/item/CS_URS_2022_02/162751117"/>
    <hyperlink ref="F191" r:id="rId22" display="https://podminky.urs.cz/item/CS_URS_2022_02/162751119"/>
    <hyperlink ref="F194" r:id="rId23" display="https://podminky.urs.cz/item/CS_URS_2022_02/162751119"/>
    <hyperlink ref="F197" r:id="rId24" display="https://podminky.urs.cz/item/CS_URS_2022_02/167151111"/>
    <hyperlink ref="F202" r:id="rId25" display="https://podminky.urs.cz/item/CS_URS_2022_02/171152112"/>
    <hyperlink ref="F204" r:id="rId26" display="https://podminky.urs.cz/item/CS_URS_2022_02/171251201"/>
    <hyperlink ref="F216" r:id="rId27" display="https://podminky.urs.cz/item/CS_URS_2022_02/175151101"/>
    <hyperlink ref="F222" r:id="rId28" display="https://podminky.urs.cz/item/CS_URS_2022_02/181152302"/>
    <hyperlink ref="F226" r:id="rId29" display="https://podminky.urs.cz/item/CS_URS_2022_02/184853511"/>
    <hyperlink ref="F231" r:id="rId30" display="https://podminky.urs.cz/item/CS_URS_2021_02/211521111"/>
    <hyperlink ref="F237" r:id="rId31" display="https://podminky.urs.cz/item/CS_URS_2022_01/211971110"/>
    <hyperlink ref="F244" r:id="rId32" display="https://podminky.urs.cz/item/CS_URS_2021_02/212532111"/>
    <hyperlink ref="F248" r:id="rId33" display="https://podminky.urs.cz/item/CS_URS_2022_01/212752102"/>
    <hyperlink ref="F253" r:id="rId34" display="https://podminky.urs.cz/item/CS_URS_2022_02/452112122"/>
    <hyperlink ref="F261" r:id="rId35" display="https://podminky.urs.cz/item/CS_URS_2022_02/564851011"/>
    <hyperlink ref="F275" r:id="rId36" display="https://podminky.urs.cz/item/CS_URS_2022_02/564861111"/>
    <hyperlink ref="F282" r:id="rId37" display="https://podminky.urs.cz/item/CS_URS_2022_01/565155111"/>
    <hyperlink ref="F287" r:id="rId38" display="https://podminky.urs.cz/item/CS_URS_2022_02/567122114"/>
    <hyperlink ref="F291" r:id="rId39" display="https://podminky.urs.cz/item/CS_URS_2022_01/567132113"/>
    <hyperlink ref="F295" r:id="rId40" display="https://podminky.urs.cz/item/CS_URS_2021_02/573191111"/>
    <hyperlink ref="F299" r:id="rId41" display="https://podminky.urs.cz/item/CS_URS_2021_02/573231108"/>
    <hyperlink ref="F303" r:id="rId42" display="https://podminky.urs.cz/item/CS_URS_2022_01/577144111"/>
    <hyperlink ref="F330" r:id="rId43" display="https://podminky.urs.cz/item/CS_URS_2022_02/594511113"/>
    <hyperlink ref="F333" r:id="rId44" display="https://podminky.urs.cz/item/CS_URS_2022_02/596211212"/>
    <hyperlink ref="F353" r:id="rId45" display="https://podminky.urs.cz/item/CS_URS_2022_01/871310310.1"/>
    <hyperlink ref="F356" r:id="rId46" display="https://podminky.urs.cz/item/CS_URS_2022_02/895211131"/>
    <hyperlink ref="F358" r:id="rId47" display="https://podminky.urs.cz/item/CS_URS_2022_02/895941102"/>
    <hyperlink ref="F363" r:id="rId48" display="https://podminky.urs.cz/item/CS_URS_2022_02/895941343"/>
    <hyperlink ref="F366" r:id="rId49" display="https://podminky.urs.cz/item/CS_URS_2022_02/895941351"/>
    <hyperlink ref="F371" r:id="rId50" display="https://podminky.urs.cz/item/CS_URS_2022_02/899331111"/>
    <hyperlink ref="F374" r:id="rId51" display="https://podminky.urs.cz/item/CS_URS_2022_01/914111111"/>
    <hyperlink ref="F390" r:id="rId52" display="https://podminky.urs.cz/item/CS_URS_2022_01/914511112"/>
    <hyperlink ref="F396" r:id="rId53" display="https://podminky.urs.cz/item/CS_URS_2022_02/915111112"/>
    <hyperlink ref="F400" r:id="rId54" display="https://podminky.urs.cz/item/CS_URS_2022_01/915111116"/>
    <hyperlink ref="F404" r:id="rId55" display="https://podminky.urs.cz/item/CS_URS_2022_02/915131112"/>
    <hyperlink ref="F408" r:id="rId56" display="https://podminky.urs.cz/item/CS_URS_2022_02/915211112"/>
    <hyperlink ref="F412" r:id="rId57" display="https://podminky.urs.cz/item/CS_URS_2022_02/915211116"/>
    <hyperlink ref="F416" r:id="rId58" display="https://podminky.urs.cz/item/CS_URS_2022_02/915231112"/>
    <hyperlink ref="F420" r:id="rId59" display="https://podminky.urs.cz/item/CS_URS_2022_01/915611111"/>
    <hyperlink ref="F425" r:id="rId60" display="https://podminky.urs.cz/item/CS_URS_2022_02/915621111"/>
    <hyperlink ref="F427" r:id="rId61" display="https://podminky.urs.cz/item/CS_URS_2022_01/916131213"/>
    <hyperlink ref="F449" r:id="rId62" display="https://podminky.urs.cz/item/CS_URS_2022_02/916132113"/>
    <hyperlink ref="F453" r:id="rId63" display="https://podminky.urs.cz/item/CS_URS_2022_01/916231213"/>
    <hyperlink ref="F464" r:id="rId64" display="https://podminky.urs.cz/item/CS_URS_2022_01/919732211"/>
    <hyperlink ref="F466" r:id="rId65" display="https://podminky.urs.cz/item/CS_URS_2022_01/919735111"/>
    <hyperlink ref="F468" r:id="rId66" display="https://podminky.urs.cz/item/CS_URS_2022_02/935112211"/>
    <hyperlink ref="F472" r:id="rId67" display="https://podminky.urs.cz/item/CS_URS_2022_02/961044111"/>
    <hyperlink ref="F476" r:id="rId68" display="https://podminky.urs.cz/item/CS_URS_2022_02/961055111"/>
    <hyperlink ref="F480" r:id="rId69" display="https://podminky.urs.cz/item/CS_URS_2022_02/962032230"/>
    <hyperlink ref="F484" r:id="rId70" display="https://podminky.urs.cz/item/CS_URS_2022_02/966006132"/>
    <hyperlink ref="F486" r:id="rId71" display="https://podminky.urs.cz/item/CS_URS_2022_02/966006211"/>
    <hyperlink ref="F488" r:id="rId72" display="https://podminky.urs.cz/item/CS_URS_2022_02/976085211"/>
    <hyperlink ref="F491" r:id="rId73" display="https://podminky.urs.cz/item/CS_URS_2022_02/997013863"/>
    <hyperlink ref="F495" r:id="rId74" display="https://podminky.urs.cz/item/CS_URS_2022_02/997221551"/>
    <hyperlink ref="F501" r:id="rId75" display="https://podminky.urs.cz/item/CS_URS_2022_02/997221551"/>
    <hyperlink ref="F508" r:id="rId76" display="https://podminky.urs.cz/item/CS_URS_2022_02/997221559"/>
    <hyperlink ref="F511" r:id="rId77" display="https://podminky.urs.cz/item/CS_URS_2022_02/997221561"/>
    <hyperlink ref="F518" r:id="rId78" display="https://podminky.urs.cz/item/CS_URS_2022_02/997221569"/>
    <hyperlink ref="F521" r:id="rId79" display="https://podminky.urs.cz/item/CS_URS_2022_02/997221861"/>
    <hyperlink ref="F530" r:id="rId80" display="https://podminky.urs.cz/item/CS_URS_2022_02/997221873"/>
    <hyperlink ref="F534" r:id="rId81" display="https://podminky.urs.cz/item/CS_URS_2022_02/997221875"/>
    <hyperlink ref="F541" r:id="rId82" display="https://podminky.urs.cz/item/CS_URS_2022_02/998223011"/>
    <hyperlink ref="F545" r:id="rId83" display="https://podminky.urs.cz/item/CS_URS_2022_02/7679968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16"/>
  <sheetViews>
    <sheetView showGridLines="0" workbookViewId="0" topLeftCell="A178">
      <selection activeCell="G195" sqref="G195"/>
    </sheetView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AT2" s="18" t="s">
        <v>92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89" t="s">
        <v>948</v>
      </c>
      <c r="F9" s="495"/>
      <c r="G9" s="495"/>
      <c r="H9" s="495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66"/>
      <c r="G18" s="466"/>
      <c r="H18" s="46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71" t="s">
        <v>19</v>
      </c>
      <c r="F27" s="471"/>
      <c r="G27" s="471"/>
      <c r="H27" s="471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ROUND(J88,2)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ROUND((SUM(BE88:BE315)),2)</f>
        <v>0</v>
      </c>
      <c r="I33" s="90">
        <v>0.21</v>
      </c>
      <c r="J33" s="89">
        <f>ROUND(((SUM(BE88:BE315))*I33),2)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ROUND((SUM(BF88:BF315)),2)</f>
        <v>0</v>
      </c>
      <c r="I34" s="90">
        <v>0.15</v>
      </c>
      <c r="J34" s="89">
        <f>ROUND(((SUM(BF88:BF315))*I34),2)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ROUND((SUM(BG88:BG315)),2)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ROUND((SUM(BH88:BH315)),2)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ROUND((SUM(BI88:BI315)),2)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89" t="str">
        <f>E9</f>
        <v>SO 110 - Chodníky</v>
      </c>
      <c r="F50" s="495"/>
      <c r="G50" s="495"/>
      <c r="H50" s="495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J88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J89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J90</f>
        <v>0</v>
      </c>
      <c r="L61" s="104"/>
    </row>
    <row r="62" spans="2:12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J166</f>
        <v>0</v>
      </c>
      <c r="L62" s="104"/>
    </row>
    <row r="63" spans="2:12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J182</f>
        <v>0</v>
      </c>
      <c r="L63" s="104"/>
    </row>
    <row r="64" spans="2:12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J189</f>
        <v>0</v>
      </c>
      <c r="L64" s="104"/>
    </row>
    <row r="65" spans="2:12" s="9" customFormat="1" ht="19.95" customHeight="1">
      <c r="B65" s="104"/>
      <c r="D65" s="105" t="s">
        <v>234</v>
      </c>
      <c r="E65" s="106"/>
      <c r="F65" s="106"/>
      <c r="G65" s="106"/>
      <c r="H65" s="106"/>
      <c r="I65" s="106"/>
      <c r="J65" s="107">
        <f>J195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J243</f>
        <v>0</v>
      </c>
      <c r="L66" s="104"/>
    </row>
    <row r="67" spans="2:12" s="9" customFormat="1" ht="19.95" customHeight="1">
      <c r="B67" s="104"/>
      <c r="D67" s="105" t="s">
        <v>237</v>
      </c>
      <c r="E67" s="106"/>
      <c r="F67" s="106"/>
      <c r="G67" s="106"/>
      <c r="H67" s="106"/>
      <c r="I67" s="106"/>
      <c r="J67" s="107">
        <f>J266</f>
        <v>0</v>
      </c>
      <c r="L67" s="104"/>
    </row>
    <row r="68" spans="2:12" s="9" customFormat="1" ht="19.95" customHeight="1">
      <c r="B68" s="104"/>
      <c r="D68" s="105" t="s">
        <v>238</v>
      </c>
      <c r="E68" s="106"/>
      <c r="F68" s="106"/>
      <c r="G68" s="106"/>
      <c r="H68" s="106"/>
      <c r="I68" s="106"/>
      <c r="J68" s="107">
        <f>J313</f>
        <v>0</v>
      </c>
      <c r="L68" s="104"/>
    </row>
    <row r="69" spans="2:12" s="1" customFormat="1" ht="21.75" customHeight="1">
      <c r="B69" s="33"/>
      <c r="L69" s="33"/>
    </row>
    <row r="70" spans="2:12" s="1" customFormat="1" ht="6.9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3"/>
    </row>
    <row r="74" spans="2:12" s="1" customFormat="1" ht="6.9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33"/>
    </row>
    <row r="75" spans="2:12" s="1" customFormat="1" ht="24.9" customHeight="1">
      <c r="B75" s="33"/>
      <c r="C75" s="22" t="s">
        <v>129</v>
      </c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8" t="s">
        <v>16</v>
      </c>
      <c r="L77" s="33"/>
    </row>
    <row r="78" spans="2:12" s="1" customFormat="1" ht="27" customHeight="1">
      <c r="B78" s="33"/>
      <c r="E78" s="496" t="str">
        <f>E7</f>
        <v>REGENERACE PANELOVÉHO SÍDLIŠTĚ PRIEVIDZSKÁ - 7.ETAPA</v>
      </c>
      <c r="F78" s="497"/>
      <c r="G78" s="497"/>
      <c r="H78" s="497"/>
      <c r="L78" s="33"/>
    </row>
    <row r="79" spans="2:12" s="1" customFormat="1" ht="12" customHeight="1">
      <c r="B79" s="33"/>
      <c r="C79" s="28" t="s">
        <v>118</v>
      </c>
      <c r="L79" s="33"/>
    </row>
    <row r="80" spans="2:12" s="1" customFormat="1" ht="15" customHeight="1">
      <c r="B80" s="33"/>
      <c r="E80" s="489" t="str">
        <f>E9</f>
        <v>SO 110 - Chodníky</v>
      </c>
      <c r="F80" s="495"/>
      <c r="G80" s="495"/>
      <c r="H80" s="495"/>
      <c r="L80" s="33"/>
    </row>
    <row r="81" spans="2:12" s="1" customFormat="1" ht="6.9" customHeight="1">
      <c r="B81" s="33"/>
      <c r="L81" s="33"/>
    </row>
    <row r="82" spans="2:12" s="1" customFormat="1" ht="12" customHeight="1">
      <c r="B82" s="33"/>
      <c r="C82" s="28" t="s">
        <v>21</v>
      </c>
      <c r="F82" s="26" t="str">
        <f>F12</f>
        <v xml:space="preserve"> </v>
      </c>
      <c r="I82" s="28" t="s">
        <v>23</v>
      </c>
      <c r="J82" s="50" t="str">
        <f>IF(J12="","",J12)</f>
        <v>22. 10. 2022</v>
      </c>
      <c r="L82" s="33"/>
    </row>
    <row r="83" spans="2:12" s="1" customFormat="1" ht="6.9" customHeight="1">
      <c r="B83" s="33"/>
      <c r="L83" s="33"/>
    </row>
    <row r="84" spans="2:12" s="1" customFormat="1" ht="14.85" customHeight="1">
      <c r="B84" s="33"/>
      <c r="C84" s="28" t="s">
        <v>25</v>
      </c>
      <c r="F84" s="26" t="str">
        <f>E15</f>
        <v>Město Šumperk</v>
      </c>
      <c r="I84" s="28" t="s">
        <v>33</v>
      </c>
      <c r="J84" s="31" t="str">
        <f>E21</f>
        <v>Ateliér DPK, s.r.o.</v>
      </c>
      <c r="L84" s="33"/>
    </row>
    <row r="85" spans="2:12" s="1" customFormat="1" ht="14.85" customHeight="1">
      <c r="B85" s="33"/>
      <c r="C85" s="28" t="s">
        <v>31</v>
      </c>
      <c r="F85" s="26" t="str">
        <f>IF(E18="","",E18)</f>
        <v>Vyplň údaj</v>
      </c>
      <c r="I85" s="28" t="s">
        <v>38</v>
      </c>
      <c r="J85" s="31" t="str">
        <f>E24</f>
        <v xml:space="preserve"> </v>
      </c>
      <c r="L85" s="33"/>
    </row>
    <row r="86" spans="2:12" s="1" customFormat="1" ht="10.35" customHeight="1">
      <c r="B86" s="33"/>
      <c r="L86" s="33"/>
    </row>
    <row r="87" spans="2:20" s="10" customFormat="1" ht="29.25" customHeight="1">
      <c r="B87" s="108"/>
      <c r="C87" s="109" t="s">
        <v>130</v>
      </c>
      <c r="D87" s="110" t="s">
        <v>61</v>
      </c>
      <c r="E87" s="110" t="s">
        <v>57</v>
      </c>
      <c r="F87" s="110" t="s">
        <v>58</v>
      </c>
      <c r="G87" s="110" t="s">
        <v>131</v>
      </c>
      <c r="H87" s="110" t="s">
        <v>132</v>
      </c>
      <c r="I87" s="110" t="s">
        <v>133</v>
      </c>
      <c r="J87" s="110" t="s">
        <v>122</v>
      </c>
      <c r="K87" s="111" t="s">
        <v>134</v>
      </c>
      <c r="L87" s="108"/>
      <c r="M87" s="57" t="s">
        <v>19</v>
      </c>
      <c r="N87" s="58" t="s">
        <v>46</v>
      </c>
      <c r="O87" s="58" t="s">
        <v>135</v>
      </c>
      <c r="P87" s="58" t="s">
        <v>136</v>
      </c>
      <c r="Q87" s="58" t="s">
        <v>137</v>
      </c>
      <c r="R87" s="58" t="s">
        <v>138</v>
      </c>
      <c r="S87" s="58" t="s">
        <v>139</v>
      </c>
      <c r="T87" s="59" t="s">
        <v>140</v>
      </c>
    </row>
    <row r="88" spans="2:63" s="1" customFormat="1" ht="22.8" customHeight="1">
      <c r="B88" s="33"/>
      <c r="C88" s="62" t="s">
        <v>141</v>
      </c>
      <c r="J88" s="112">
        <f>BK88</f>
        <v>0</v>
      </c>
      <c r="L88" s="33"/>
      <c r="M88" s="60"/>
      <c r="N88" s="51"/>
      <c r="O88" s="51"/>
      <c r="P88" s="113">
        <f>P89</f>
        <v>0</v>
      </c>
      <c r="Q88" s="51"/>
      <c r="R88" s="113">
        <f>R89</f>
        <v>464.946777</v>
      </c>
      <c r="S88" s="51"/>
      <c r="T88" s="114">
        <f>T89</f>
        <v>569.5540000000001</v>
      </c>
      <c r="AT88" s="18" t="s">
        <v>75</v>
      </c>
      <c r="AU88" s="18" t="s">
        <v>123</v>
      </c>
      <c r="BK88" s="115">
        <f>BK89</f>
        <v>0</v>
      </c>
    </row>
    <row r="89" spans="2:63" s="11" customFormat="1" ht="25.8" customHeight="1">
      <c r="B89" s="116"/>
      <c r="D89" s="117" t="s">
        <v>75</v>
      </c>
      <c r="E89" s="118" t="s">
        <v>241</v>
      </c>
      <c r="F89" s="118" t="s">
        <v>242</v>
      </c>
      <c r="I89" s="119"/>
      <c r="J89" s="120">
        <f>BK89</f>
        <v>0</v>
      </c>
      <c r="L89" s="116"/>
      <c r="M89" s="121"/>
      <c r="P89" s="122">
        <f>P90+P166+P182+P189+P195+P243+P266+P313</f>
        <v>0</v>
      </c>
      <c r="R89" s="122">
        <f>R90+R166+R182+R189+R195+R243+R266+R313</f>
        <v>464.946777</v>
      </c>
      <c r="T89" s="123">
        <f>T90+T166+T182+T189+T195+T243+T266+T313</f>
        <v>569.5540000000001</v>
      </c>
      <c r="AR89" s="117" t="s">
        <v>84</v>
      </c>
      <c r="AT89" s="124" t="s">
        <v>75</v>
      </c>
      <c r="AU89" s="124" t="s">
        <v>76</v>
      </c>
      <c r="AY89" s="117" t="s">
        <v>144</v>
      </c>
      <c r="BK89" s="125">
        <f>BK90+BK166+BK182+BK189+BK195+BK243+BK266+BK313</f>
        <v>0</v>
      </c>
    </row>
    <row r="90" spans="2:63" s="11" customFormat="1" ht="22.8" customHeight="1">
      <c r="B90" s="116"/>
      <c r="D90" s="117" t="s">
        <v>75</v>
      </c>
      <c r="E90" s="126" t="s">
        <v>84</v>
      </c>
      <c r="F90" s="126" t="s">
        <v>243</v>
      </c>
      <c r="I90" s="119"/>
      <c r="J90" s="127">
        <f>BK90</f>
        <v>0</v>
      </c>
      <c r="L90" s="116"/>
      <c r="M90" s="121"/>
      <c r="P90" s="122">
        <f>SUM(P91:P165)</f>
        <v>0</v>
      </c>
      <c r="R90" s="122">
        <f>SUM(R91:R165)</f>
        <v>0</v>
      </c>
      <c r="T90" s="123">
        <f>SUM(T91:T165)</f>
        <v>569.5540000000001</v>
      </c>
      <c r="AR90" s="117" t="s">
        <v>84</v>
      </c>
      <c r="AT90" s="124" t="s">
        <v>75</v>
      </c>
      <c r="AU90" s="124" t="s">
        <v>84</v>
      </c>
      <c r="AY90" s="117" t="s">
        <v>144</v>
      </c>
      <c r="BK90" s="125">
        <f>SUM(BK91:BK165)</f>
        <v>0</v>
      </c>
    </row>
    <row r="91" spans="2:65" s="1" customFormat="1" ht="74.55" customHeight="1">
      <c r="B91" s="33"/>
      <c r="C91" s="128" t="s">
        <v>84</v>
      </c>
      <c r="D91" s="128" t="s">
        <v>147</v>
      </c>
      <c r="E91" s="129" t="s">
        <v>252</v>
      </c>
      <c r="F91" s="130" t="s">
        <v>253</v>
      </c>
      <c r="G91" s="131" t="s">
        <v>246</v>
      </c>
      <c r="H91" s="132">
        <v>243</v>
      </c>
      <c r="I91" s="133"/>
      <c r="J91" s="134">
        <f>ROUND(I91*H91,2)</f>
        <v>0</v>
      </c>
      <c r="K91" s="130" t="s">
        <v>151</v>
      </c>
      <c r="L91" s="33"/>
      <c r="M91" s="135" t="s">
        <v>19</v>
      </c>
      <c r="N91" s="136" t="s">
        <v>47</v>
      </c>
      <c r="P91" s="137">
        <f>O91*H91</f>
        <v>0</v>
      </c>
      <c r="Q91" s="137">
        <v>0</v>
      </c>
      <c r="R91" s="137">
        <f>Q91*H91</f>
        <v>0</v>
      </c>
      <c r="S91" s="137">
        <v>0.255</v>
      </c>
      <c r="T91" s="138">
        <f>S91*H91</f>
        <v>61.965</v>
      </c>
      <c r="AR91" s="139" t="s">
        <v>166</v>
      </c>
      <c r="AT91" s="139" t="s">
        <v>147</v>
      </c>
      <c r="AU91" s="139" t="s">
        <v>86</v>
      </c>
      <c r="AY91" s="18" t="s">
        <v>144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84</v>
      </c>
      <c r="BK91" s="140">
        <f>ROUND(I91*H91,2)</f>
        <v>0</v>
      </c>
      <c r="BL91" s="18" t="s">
        <v>166</v>
      </c>
      <c r="BM91" s="139" t="s">
        <v>950</v>
      </c>
    </row>
    <row r="92" spans="2:47" s="1" customFormat="1" ht="12">
      <c r="B92" s="33"/>
      <c r="D92" s="141" t="s">
        <v>154</v>
      </c>
      <c r="F92" s="142" t="s">
        <v>255</v>
      </c>
      <c r="I92" s="143"/>
      <c r="L92" s="33"/>
      <c r="M92" s="144"/>
      <c r="T92" s="54"/>
      <c r="AT92" s="18" t="s">
        <v>154</v>
      </c>
      <c r="AU92" s="18" t="s">
        <v>86</v>
      </c>
    </row>
    <row r="93" spans="2:51" s="12" customFormat="1" ht="12">
      <c r="B93" s="152"/>
      <c r="D93" s="145" t="s">
        <v>249</v>
      </c>
      <c r="E93" s="153" t="s">
        <v>19</v>
      </c>
      <c r="F93" s="154" t="s">
        <v>951</v>
      </c>
      <c r="H93" s="155">
        <v>243</v>
      </c>
      <c r="I93" s="156"/>
      <c r="L93" s="152"/>
      <c r="M93" s="157"/>
      <c r="T93" s="158"/>
      <c r="AT93" s="153" t="s">
        <v>249</v>
      </c>
      <c r="AU93" s="153" t="s">
        <v>86</v>
      </c>
      <c r="AV93" s="12" t="s">
        <v>86</v>
      </c>
      <c r="AW93" s="12" t="s">
        <v>37</v>
      </c>
      <c r="AX93" s="12" t="s">
        <v>76</v>
      </c>
      <c r="AY93" s="153" t="s">
        <v>144</v>
      </c>
    </row>
    <row r="94" spans="2:51" s="13" customFormat="1" ht="12">
      <c r="B94" s="159"/>
      <c r="D94" s="145" t="s">
        <v>249</v>
      </c>
      <c r="E94" s="160" t="s">
        <v>19</v>
      </c>
      <c r="F94" s="161" t="s">
        <v>251</v>
      </c>
      <c r="H94" s="162">
        <v>243</v>
      </c>
      <c r="I94" s="163"/>
      <c r="L94" s="159"/>
      <c r="M94" s="164"/>
      <c r="T94" s="165"/>
      <c r="AT94" s="160" t="s">
        <v>249</v>
      </c>
      <c r="AU94" s="160" t="s">
        <v>86</v>
      </c>
      <c r="AV94" s="13" t="s">
        <v>166</v>
      </c>
      <c r="AW94" s="13" t="s">
        <v>37</v>
      </c>
      <c r="AX94" s="13" t="s">
        <v>84</v>
      </c>
      <c r="AY94" s="160" t="s">
        <v>144</v>
      </c>
    </row>
    <row r="95" spans="2:65" s="1" customFormat="1" ht="63.9" customHeight="1">
      <c r="B95" s="33"/>
      <c r="C95" s="128" t="s">
        <v>86</v>
      </c>
      <c r="D95" s="128" t="s">
        <v>147</v>
      </c>
      <c r="E95" s="129" t="s">
        <v>257</v>
      </c>
      <c r="F95" s="130" t="s">
        <v>258</v>
      </c>
      <c r="G95" s="131" t="s">
        <v>246</v>
      </c>
      <c r="H95" s="132">
        <v>53</v>
      </c>
      <c r="I95" s="133"/>
      <c r="J95" s="134">
        <f>ROUND(I95*H95,2)</f>
        <v>0</v>
      </c>
      <c r="K95" s="130" t="s">
        <v>151</v>
      </c>
      <c r="L95" s="33"/>
      <c r="M95" s="135" t="s">
        <v>19</v>
      </c>
      <c r="N95" s="136" t="s">
        <v>47</v>
      </c>
      <c r="P95" s="137">
        <f>O95*H95</f>
        <v>0</v>
      </c>
      <c r="Q95" s="137">
        <v>0</v>
      </c>
      <c r="R95" s="137">
        <f>Q95*H95</f>
        <v>0</v>
      </c>
      <c r="S95" s="137">
        <v>0.4</v>
      </c>
      <c r="T95" s="138">
        <f>S95*H95</f>
        <v>21.200000000000003</v>
      </c>
      <c r="AR95" s="139" t="s">
        <v>166</v>
      </c>
      <c r="AT95" s="139" t="s">
        <v>147</v>
      </c>
      <c r="AU95" s="139" t="s">
        <v>86</v>
      </c>
      <c r="AY95" s="18" t="s">
        <v>144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84</v>
      </c>
      <c r="BK95" s="140">
        <f>ROUND(I95*H95,2)</f>
        <v>0</v>
      </c>
      <c r="BL95" s="18" t="s">
        <v>166</v>
      </c>
      <c r="BM95" s="139" t="s">
        <v>952</v>
      </c>
    </row>
    <row r="96" spans="2:47" s="1" customFormat="1" ht="12">
      <c r="B96" s="33"/>
      <c r="D96" s="141" t="s">
        <v>154</v>
      </c>
      <c r="F96" s="142" t="s">
        <v>260</v>
      </c>
      <c r="I96" s="143"/>
      <c r="L96" s="33"/>
      <c r="M96" s="144"/>
      <c r="T96" s="54"/>
      <c r="AT96" s="18" t="s">
        <v>154</v>
      </c>
      <c r="AU96" s="18" t="s">
        <v>86</v>
      </c>
    </row>
    <row r="97" spans="2:51" s="12" customFormat="1" ht="12">
      <c r="B97" s="152"/>
      <c r="D97" s="145" t="s">
        <v>249</v>
      </c>
      <c r="E97" s="153" t="s">
        <v>19</v>
      </c>
      <c r="F97" s="154" t="s">
        <v>953</v>
      </c>
      <c r="H97" s="155">
        <v>53</v>
      </c>
      <c r="I97" s="156"/>
      <c r="L97" s="152"/>
      <c r="M97" s="157"/>
      <c r="T97" s="158"/>
      <c r="AT97" s="153" t="s">
        <v>249</v>
      </c>
      <c r="AU97" s="153" t="s">
        <v>86</v>
      </c>
      <c r="AV97" s="12" t="s">
        <v>86</v>
      </c>
      <c r="AW97" s="12" t="s">
        <v>37</v>
      </c>
      <c r="AX97" s="12" t="s">
        <v>76</v>
      </c>
      <c r="AY97" s="153" t="s">
        <v>144</v>
      </c>
    </row>
    <row r="98" spans="2:51" s="13" customFormat="1" ht="12">
      <c r="B98" s="159"/>
      <c r="D98" s="145" t="s">
        <v>249</v>
      </c>
      <c r="E98" s="160" t="s">
        <v>19</v>
      </c>
      <c r="F98" s="161" t="s">
        <v>251</v>
      </c>
      <c r="H98" s="162">
        <v>53</v>
      </c>
      <c r="I98" s="163"/>
      <c r="L98" s="159"/>
      <c r="M98" s="164"/>
      <c r="T98" s="165"/>
      <c r="AT98" s="160" t="s">
        <v>249</v>
      </c>
      <c r="AU98" s="160" t="s">
        <v>86</v>
      </c>
      <c r="AV98" s="13" t="s">
        <v>166</v>
      </c>
      <c r="AW98" s="13" t="s">
        <v>37</v>
      </c>
      <c r="AX98" s="13" t="s">
        <v>84</v>
      </c>
      <c r="AY98" s="160" t="s">
        <v>144</v>
      </c>
    </row>
    <row r="99" spans="2:65" s="1" customFormat="1" ht="53.25" customHeight="1">
      <c r="B99" s="33"/>
      <c r="C99" s="128" t="s">
        <v>162</v>
      </c>
      <c r="D99" s="128" t="s">
        <v>147</v>
      </c>
      <c r="E99" s="129" t="s">
        <v>954</v>
      </c>
      <c r="F99" s="130" t="s">
        <v>955</v>
      </c>
      <c r="G99" s="131" t="s">
        <v>246</v>
      </c>
      <c r="H99" s="132">
        <v>252</v>
      </c>
      <c r="I99" s="133"/>
      <c r="J99" s="134">
        <f>ROUND(I99*H99,2)</f>
        <v>0</v>
      </c>
      <c r="K99" s="130" t="s">
        <v>151</v>
      </c>
      <c r="L99" s="33"/>
      <c r="M99" s="135" t="s">
        <v>19</v>
      </c>
      <c r="N99" s="136" t="s">
        <v>47</v>
      </c>
      <c r="P99" s="137">
        <f>O99*H99</f>
        <v>0</v>
      </c>
      <c r="Q99" s="137">
        <v>0</v>
      </c>
      <c r="R99" s="137">
        <f>Q99*H99</f>
        <v>0</v>
      </c>
      <c r="S99" s="137">
        <v>0.17</v>
      </c>
      <c r="T99" s="138">
        <f>S99*H99</f>
        <v>42.84</v>
      </c>
      <c r="AR99" s="139" t="s">
        <v>166</v>
      </c>
      <c r="AT99" s="139" t="s">
        <v>147</v>
      </c>
      <c r="AU99" s="139" t="s">
        <v>86</v>
      </c>
      <c r="AY99" s="18" t="s">
        <v>144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84</v>
      </c>
      <c r="BK99" s="140">
        <f>ROUND(I99*H99,2)</f>
        <v>0</v>
      </c>
      <c r="BL99" s="18" t="s">
        <v>166</v>
      </c>
      <c r="BM99" s="139" t="s">
        <v>956</v>
      </c>
    </row>
    <row r="100" spans="2:47" s="1" customFormat="1" ht="12">
      <c r="B100" s="33"/>
      <c r="D100" s="141" t="s">
        <v>154</v>
      </c>
      <c r="F100" s="142" t="s">
        <v>957</v>
      </c>
      <c r="I100" s="143"/>
      <c r="L100" s="33"/>
      <c r="M100" s="144"/>
      <c r="T100" s="54"/>
      <c r="AT100" s="18" t="s">
        <v>154</v>
      </c>
      <c r="AU100" s="18" t="s">
        <v>86</v>
      </c>
    </row>
    <row r="101" spans="2:51" s="12" customFormat="1" ht="20.4">
      <c r="B101" s="152"/>
      <c r="D101" s="145" t="s">
        <v>249</v>
      </c>
      <c r="E101" s="153" t="s">
        <v>19</v>
      </c>
      <c r="F101" s="154" t="s">
        <v>958</v>
      </c>
      <c r="H101" s="155">
        <v>252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4" customFormat="1" ht="20.4">
      <c r="B102" s="166"/>
      <c r="D102" s="145" t="s">
        <v>249</v>
      </c>
      <c r="E102" s="167" t="s">
        <v>19</v>
      </c>
      <c r="F102" s="168" t="s">
        <v>959</v>
      </c>
      <c r="H102" s="167" t="s">
        <v>19</v>
      </c>
      <c r="I102" s="169"/>
      <c r="L102" s="166"/>
      <c r="M102" s="170"/>
      <c r="T102" s="171"/>
      <c r="AT102" s="167" t="s">
        <v>249</v>
      </c>
      <c r="AU102" s="167" t="s">
        <v>86</v>
      </c>
      <c r="AV102" s="14" t="s">
        <v>84</v>
      </c>
      <c r="AW102" s="14" t="s">
        <v>37</v>
      </c>
      <c r="AX102" s="14" t="s">
        <v>76</v>
      </c>
      <c r="AY102" s="167" t="s">
        <v>144</v>
      </c>
    </row>
    <row r="103" spans="2:51" s="13" customFormat="1" ht="12">
      <c r="B103" s="159"/>
      <c r="D103" s="145" t="s">
        <v>249</v>
      </c>
      <c r="E103" s="160" t="s">
        <v>19</v>
      </c>
      <c r="F103" s="161" t="s">
        <v>251</v>
      </c>
      <c r="H103" s="162">
        <v>252</v>
      </c>
      <c r="I103" s="163"/>
      <c r="L103" s="159"/>
      <c r="M103" s="164"/>
      <c r="T103" s="165"/>
      <c r="AT103" s="160" t="s">
        <v>249</v>
      </c>
      <c r="AU103" s="160" t="s">
        <v>86</v>
      </c>
      <c r="AV103" s="13" t="s">
        <v>166</v>
      </c>
      <c r="AW103" s="13" t="s">
        <v>37</v>
      </c>
      <c r="AX103" s="13" t="s">
        <v>84</v>
      </c>
      <c r="AY103" s="160" t="s">
        <v>144</v>
      </c>
    </row>
    <row r="104" spans="2:65" s="1" customFormat="1" ht="63.9" customHeight="1">
      <c r="B104" s="33"/>
      <c r="C104" s="128" t="s">
        <v>166</v>
      </c>
      <c r="D104" s="128" t="s">
        <v>147</v>
      </c>
      <c r="E104" s="129" t="s">
        <v>960</v>
      </c>
      <c r="F104" s="130" t="s">
        <v>961</v>
      </c>
      <c r="G104" s="131" t="s">
        <v>246</v>
      </c>
      <c r="H104" s="132">
        <v>665</v>
      </c>
      <c r="I104" s="133"/>
      <c r="J104" s="134">
        <f>ROUND(I104*H104,2)</f>
        <v>0</v>
      </c>
      <c r="K104" s="130" t="s">
        <v>151</v>
      </c>
      <c r="L104" s="33"/>
      <c r="M104" s="135" t="s">
        <v>19</v>
      </c>
      <c r="N104" s="136" t="s">
        <v>47</v>
      </c>
      <c r="P104" s="137">
        <f>O104*H104</f>
        <v>0</v>
      </c>
      <c r="Q104" s="137">
        <v>0</v>
      </c>
      <c r="R104" s="137">
        <f>Q104*H104</f>
        <v>0</v>
      </c>
      <c r="S104" s="137">
        <v>0.29</v>
      </c>
      <c r="T104" s="138">
        <f>S104*H104</f>
        <v>192.85</v>
      </c>
      <c r="AR104" s="139" t="s">
        <v>166</v>
      </c>
      <c r="AT104" s="139" t="s">
        <v>147</v>
      </c>
      <c r="AU104" s="139" t="s">
        <v>86</v>
      </c>
      <c r="AY104" s="18" t="s">
        <v>144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8" t="s">
        <v>84</v>
      </c>
      <c r="BK104" s="140">
        <f>ROUND(I104*H104,2)</f>
        <v>0</v>
      </c>
      <c r="BL104" s="18" t="s">
        <v>166</v>
      </c>
      <c r="BM104" s="139" t="s">
        <v>962</v>
      </c>
    </row>
    <row r="105" spans="2:47" s="1" customFormat="1" ht="12">
      <c r="B105" s="33"/>
      <c r="D105" s="141" t="s">
        <v>154</v>
      </c>
      <c r="F105" s="142" t="s">
        <v>963</v>
      </c>
      <c r="I105" s="143"/>
      <c r="L105" s="33"/>
      <c r="M105" s="144"/>
      <c r="T105" s="54"/>
      <c r="AT105" s="18" t="s">
        <v>154</v>
      </c>
      <c r="AU105" s="18" t="s">
        <v>86</v>
      </c>
    </row>
    <row r="106" spans="2:51" s="12" customFormat="1" ht="20.4">
      <c r="B106" s="152"/>
      <c r="D106" s="145" t="s">
        <v>249</v>
      </c>
      <c r="E106" s="153" t="s">
        <v>19</v>
      </c>
      <c r="F106" s="154" t="s">
        <v>964</v>
      </c>
      <c r="H106" s="155">
        <v>665</v>
      </c>
      <c r="I106" s="156"/>
      <c r="L106" s="152"/>
      <c r="M106" s="157"/>
      <c r="T106" s="158"/>
      <c r="AT106" s="153" t="s">
        <v>249</v>
      </c>
      <c r="AU106" s="153" t="s">
        <v>86</v>
      </c>
      <c r="AV106" s="12" t="s">
        <v>86</v>
      </c>
      <c r="AW106" s="12" t="s">
        <v>37</v>
      </c>
      <c r="AX106" s="12" t="s">
        <v>76</v>
      </c>
      <c r="AY106" s="153" t="s">
        <v>144</v>
      </c>
    </row>
    <row r="107" spans="2:51" s="14" customFormat="1" ht="20.4">
      <c r="B107" s="166"/>
      <c r="D107" s="145" t="s">
        <v>249</v>
      </c>
      <c r="E107" s="167" t="s">
        <v>19</v>
      </c>
      <c r="F107" s="168" t="s">
        <v>959</v>
      </c>
      <c r="H107" s="167" t="s">
        <v>19</v>
      </c>
      <c r="I107" s="169"/>
      <c r="L107" s="166"/>
      <c r="M107" s="170"/>
      <c r="T107" s="171"/>
      <c r="AT107" s="167" t="s">
        <v>249</v>
      </c>
      <c r="AU107" s="167" t="s">
        <v>86</v>
      </c>
      <c r="AV107" s="14" t="s">
        <v>84</v>
      </c>
      <c r="AW107" s="14" t="s">
        <v>37</v>
      </c>
      <c r="AX107" s="14" t="s">
        <v>76</v>
      </c>
      <c r="AY107" s="167" t="s">
        <v>144</v>
      </c>
    </row>
    <row r="108" spans="2:51" s="13" customFormat="1" ht="12">
      <c r="B108" s="159"/>
      <c r="D108" s="145" t="s">
        <v>249</v>
      </c>
      <c r="E108" s="160" t="s">
        <v>19</v>
      </c>
      <c r="F108" s="161" t="s">
        <v>251</v>
      </c>
      <c r="H108" s="162">
        <v>665</v>
      </c>
      <c r="I108" s="163"/>
      <c r="L108" s="159"/>
      <c r="M108" s="164"/>
      <c r="T108" s="165"/>
      <c r="AT108" s="160" t="s">
        <v>249</v>
      </c>
      <c r="AU108" s="160" t="s">
        <v>86</v>
      </c>
      <c r="AV108" s="13" t="s">
        <v>166</v>
      </c>
      <c r="AW108" s="13" t="s">
        <v>37</v>
      </c>
      <c r="AX108" s="13" t="s">
        <v>84</v>
      </c>
      <c r="AY108" s="160" t="s">
        <v>144</v>
      </c>
    </row>
    <row r="109" spans="2:65" s="1" customFormat="1" ht="53.25" customHeight="1">
      <c r="B109" s="33"/>
      <c r="C109" s="128" t="s">
        <v>143</v>
      </c>
      <c r="D109" s="128" t="s">
        <v>147</v>
      </c>
      <c r="E109" s="129" t="s">
        <v>965</v>
      </c>
      <c r="F109" s="130" t="s">
        <v>966</v>
      </c>
      <c r="G109" s="131" t="s">
        <v>246</v>
      </c>
      <c r="H109" s="132">
        <v>9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0</v>
      </c>
      <c r="R109" s="137">
        <f>Q109*H109</f>
        <v>0</v>
      </c>
      <c r="S109" s="137">
        <v>0.325</v>
      </c>
      <c r="T109" s="138">
        <f>S109*H109</f>
        <v>2.9250000000000003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967</v>
      </c>
    </row>
    <row r="110" spans="2:47" s="1" customFormat="1" ht="12">
      <c r="B110" s="33"/>
      <c r="D110" s="141" t="s">
        <v>154</v>
      </c>
      <c r="F110" s="142" t="s">
        <v>968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51" s="12" customFormat="1" ht="12">
      <c r="B111" s="152"/>
      <c r="D111" s="145" t="s">
        <v>249</v>
      </c>
      <c r="E111" s="153" t="s">
        <v>19</v>
      </c>
      <c r="F111" s="154" t="s">
        <v>969</v>
      </c>
      <c r="H111" s="155">
        <v>9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51" s="13" customFormat="1" ht="12">
      <c r="B112" s="159"/>
      <c r="D112" s="145" t="s">
        <v>249</v>
      </c>
      <c r="E112" s="160" t="s">
        <v>19</v>
      </c>
      <c r="F112" s="161" t="s">
        <v>251</v>
      </c>
      <c r="H112" s="162">
        <v>9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53.25" customHeight="1">
      <c r="B113" s="33"/>
      <c r="C113" s="128" t="s">
        <v>177</v>
      </c>
      <c r="D113" s="128" t="s">
        <v>147</v>
      </c>
      <c r="E113" s="129" t="s">
        <v>970</v>
      </c>
      <c r="F113" s="130" t="s">
        <v>971</v>
      </c>
      <c r="G113" s="131" t="s">
        <v>246</v>
      </c>
      <c r="H113" s="132">
        <v>413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0.098</v>
      </c>
      <c r="T113" s="138">
        <f>S113*H113</f>
        <v>40.474000000000004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972</v>
      </c>
    </row>
    <row r="114" spans="2:47" s="1" customFormat="1" ht="12">
      <c r="B114" s="33"/>
      <c r="D114" s="141" t="s">
        <v>154</v>
      </c>
      <c r="F114" s="142" t="s">
        <v>973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51" s="12" customFormat="1" ht="12">
      <c r="B115" s="152"/>
      <c r="D115" s="145" t="s">
        <v>249</v>
      </c>
      <c r="E115" s="153" t="s">
        <v>19</v>
      </c>
      <c r="F115" s="154" t="s">
        <v>974</v>
      </c>
      <c r="H115" s="155">
        <v>413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51" s="13" customFormat="1" ht="12">
      <c r="B116" s="159"/>
      <c r="D116" s="145" t="s">
        <v>249</v>
      </c>
      <c r="E116" s="160" t="s">
        <v>19</v>
      </c>
      <c r="F116" s="161" t="s">
        <v>251</v>
      </c>
      <c r="H116" s="162">
        <v>413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53.25" customHeight="1">
      <c r="B117" s="33"/>
      <c r="C117" s="128" t="s">
        <v>184</v>
      </c>
      <c r="D117" s="128" t="s">
        <v>147</v>
      </c>
      <c r="E117" s="129" t="s">
        <v>975</v>
      </c>
      <c r="F117" s="130" t="s">
        <v>976</v>
      </c>
      <c r="G117" s="131" t="s">
        <v>246</v>
      </c>
      <c r="H117" s="132">
        <v>413</v>
      </c>
      <c r="I117" s="133"/>
      <c r="J117" s="134">
        <f>ROUND(I117*H117,2)</f>
        <v>0</v>
      </c>
      <c r="K117" s="130" t="s">
        <v>151</v>
      </c>
      <c r="L117" s="33"/>
      <c r="M117" s="135" t="s">
        <v>19</v>
      </c>
      <c r="N117" s="136" t="s">
        <v>47</v>
      </c>
      <c r="P117" s="137">
        <f>O117*H117</f>
        <v>0</v>
      </c>
      <c r="Q117" s="137">
        <v>0</v>
      </c>
      <c r="R117" s="137">
        <f>Q117*H117</f>
        <v>0</v>
      </c>
      <c r="S117" s="137">
        <v>0.22</v>
      </c>
      <c r="T117" s="138">
        <f>S117*H117</f>
        <v>90.86</v>
      </c>
      <c r="AR117" s="139" t="s">
        <v>166</v>
      </c>
      <c r="AT117" s="139" t="s">
        <v>147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977</v>
      </c>
    </row>
    <row r="118" spans="2:47" s="1" customFormat="1" ht="12">
      <c r="B118" s="33"/>
      <c r="D118" s="141" t="s">
        <v>154</v>
      </c>
      <c r="F118" s="142" t="s">
        <v>978</v>
      </c>
      <c r="I118" s="143"/>
      <c r="L118" s="33"/>
      <c r="M118" s="144"/>
      <c r="T118" s="54"/>
      <c r="AT118" s="18" t="s">
        <v>154</v>
      </c>
      <c r="AU118" s="18" t="s">
        <v>86</v>
      </c>
    </row>
    <row r="119" spans="2:51" s="12" customFormat="1" ht="12">
      <c r="B119" s="152"/>
      <c r="D119" s="145" t="s">
        <v>249</v>
      </c>
      <c r="E119" s="153" t="s">
        <v>19</v>
      </c>
      <c r="F119" s="154" t="s">
        <v>979</v>
      </c>
      <c r="H119" s="155">
        <v>413</v>
      </c>
      <c r="I119" s="156"/>
      <c r="L119" s="152"/>
      <c r="M119" s="157"/>
      <c r="T119" s="158"/>
      <c r="AT119" s="153" t="s">
        <v>249</v>
      </c>
      <c r="AU119" s="153" t="s">
        <v>86</v>
      </c>
      <c r="AV119" s="12" t="s">
        <v>86</v>
      </c>
      <c r="AW119" s="12" t="s">
        <v>37</v>
      </c>
      <c r="AX119" s="12" t="s">
        <v>76</v>
      </c>
      <c r="AY119" s="153" t="s">
        <v>144</v>
      </c>
    </row>
    <row r="120" spans="2:51" s="13" customFormat="1" ht="12">
      <c r="B120" s="159"/>
      <c r="D120" s="145" t="s">
        <v>249</v>
      </c>
      <c r="E120" s="160" t="s">
        <v>19</v>
      </c>
      <c r="F120" s="161" t="s">
        <v>251</v>
      </c>
      <c r="H120" s="162">
        <v>413</v>
      </c>
      <c r="I120" s="163"/>
      <c r="L120" s="159"/>
      <c r="M120" s="164"/>
      <c r="T120" s="165"/>
      <c r="AT120" s="160" t="s">
        <v>249</v>
      </c>
      <c r="AU120" s="160" t="s">
        <v>86</v>
      </c>
      <c r="AV120" s="13" t="s">
        <v>166</v>
      </c>
      <c r="AW120" s="13" t="s">
        <v>37</v>
      </c>
      <c r="AX120" s="13" t="s">
        <v>84</v>
      </c>
      <c r="AY120" s="160" t="s">
        <v>144</v>
      </c>
    </row>
    <row r="121" spans="2:65" s="1" customFormat="1" ht="42.6" customHeight="1">
      <c r="B121" s="33"/>
      <c r="C121" s="128" t="s">
        <v>189</v>
      </c>
      <c r="D121" s="128" t="s">
        <v>147</v>
      </c>
      <c r="E121" s="129" t="s">
        <v>312</v>
      </c>
      <c r="F121" s="130" t="s">
        <v>313</v>
      </c>
      <c r="G121" s="131" t="s">
        <v>308</v>
      </c>
      <c r="H121" s="132">
        <v>568</v>
      </c>
      <c r="I121" s="133"/>
      <c r="J121" s="134">
        <f>ROUND(I121*H121,2)</f>
        <v>0</v>
      </c>
      <c r="K121" s="130" t="s">
        <v>151</v>
      </c>
      <c r="L121" s="33"/>
      <c r="M121" s="135" t="s">
        <v>19</v>
      </c>
      <c r="N121" s="136" t="s">
        <v>47</v>
      </c>
      <c r="P121" s="137">
        <f>O121*H121</f>
        <v>0</v>
      </c>
      <c r="Q121" s="137">
        <v>0</v>
      </c>
      <c r="R121" s="137">
        <f>Q121*H121</f>
        <v>0</v>
      </c>
      <c r="S121" s="137">
        <v>0.205</v>
      </c>
      <c r="T121" s="138">
        <f>S121*H121</f>
        <v>116.44</v>
      </c>
      <c r="AR121" s="139" t="s">
        <v>166</v>
      </c>
      <c r="AT121" s="139" t="s">
        <v>147</v>
      </c>
      <c r="AU121" s="139" t="s">
        <v>86</v>
      </c>
      <c r="AY121" s="18" t="s">
        <v>144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84</v>
      </c>
      <c r="BK121" s="140">
        <f>ROUND(I121*H121,2)</f>
        <v>0</v>
      </c>
      <c r="BL121" s="18" t="s">
        <v>166</v>
      </c>
      <c r="BM121" s="139" t="s">
        <v>980</v>
      </c>
    </row>
    <row r="122" spans="2:47" s="1" customFormat="1" ht="12">
      <c r="B122" s="33"/>
      <c r="D122" s="141" t="s">
        <v>154</v>
      </c>
      <c r="F122" s="142" t="s">
        <v>315</v>
      </c>
      <c r="I122" s="143"/>
      <c r="L122" s="33"/>
      <c r="M122" s="144"/>
      <c r="T122" s="54"/>
      <c r="AT122" s="18" t="s">
        <v>154</v>
      </c>
      <c r="AU122" s="18" t="s">
        <v>86</v>
      </c>
    </row>
    <row r="123" spans="2:65" s="1" customFormat="1" ht="31.95" customHeight="1">
      <c r="B123" s="33"/>
      <c r="C123" s="128" t="s">
        <v>195</v>
      </c>
      <c r="D123" s="128" t="s">
        <v>147</v>
      </c>
      <c r="E123" s="129" t="s">
        <v>981</v>
      </c>
      <c r="F123" s="130" t="s">
        <v>982</v>
      </c>
      <c r="G123" s="131" t="s">
        <v>324</v>
      </c>
      <c r="H123" s="132">
        <v>562.2</v>
      </c>
      <c r="I123" s="133"/>
      <c r="J123" s="134">
        <f>ROUND(I123*H123,2)</f>
        <v>0</v>
      </c>
      <c r="K123" s="130" t="s">
        <v>151</v>
      </c>
      <c r="L123" s="33"/>
      <c r="M123" s="135" t="s">
        <v>19</v>
      </c>
      <c r="N123" s="136" t="s">
        <v>47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166</v>
      </c>
      <c r="AT123" s="139" t="s">
        <v>147</v>
      </c>
      <c r="AU123" s="139" t="s">
        <v>86</v>
      </c>
      <c r="AY123" s="18" t="s">
        <v>144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8" t="s">
        <v>84</v>
      </c>
      <c r="BK123" s="140">
        <f>ROUND(I123*H123,2)</f>
        <v>0</v>
      </c>
      <c r="BL123" s="18" t="s">
        <v>166</v>
      </c>
      <c r="BM123" s="139" t="s">
        <v>983</v>
      </c>
    </row>
    <row r="124" spans="2:47" s="1" customFormat="1" ht="12">
      <c r="B124" s="33"/>
      <c r="D124" s="141" t="s">
        <v>154</v>
      </c>
      <c r="F124" s="142" t="s">
        <v>984</v>
      </c>
      <c r="I124" s="143"/>
      <c r="L124" s="33"/>
      <c r="M124" s="144"/>
      <c r="T124" s="54"/>
      <c r="AT124" s="18" t="s">
        <v>154</v>
      </c>
      <c r="AU124" s="18" t="s">
        <v>86</v>
      </c>
    </row>
    <row r="125" spans="2:51" s="12" customFormat="1" ht="12">
      <c r="B125" s="152"/>
      <c r="D125" s="145" t="s">
        <v>249</v>
      </c>
      <c r="E125" s="153" t="s">
        <v>19</v>
      </c>
      <c r="F125" s="154" t="s">
        <v>985</v>
      </c>
      <c r="H125" s="155">
        <v>45</v>
      </c>
      <c r="I125" s="156"/>
      <c r="L125" s="152"/>
      <c r="M125" s="157"/>
      <c r="T125" s="158"/>
      <c r="AT125" s="153" t="s">
        <v>249</v>
      </c>
      <c r="AU125" s="153" t="s">
        <v>86</v>
      </c>
      <c r="AV125" s="12" t="s">
        <v>86</v>
      </c>
      <c r="AW125" s="12" t="s">
        <v>37</v>
      </c>
      <c r="AX125" s="12" t="s">
        <v>76</v>
      </c>
      <c r="AY125" s="153" t="s">
        <v>144</v>
      </c>
    </row>
    <row r="126" spans="2:51" s="12" customFormat="1" ht="12">
      <c r="B126" s="152"/>
      <c r="D126" s="145" t="s">
        <v>249</v>
      </c>
      <c r="E126" s="153" t="s">
        <v>19</v>
      </c>
      <c r="F126" s="154" t="s">
        <v>986</v>
      </c>
      <c r="H126" s="155">
        <v>368</v>
      </c>
      <c r="I126" s="156"/>
      <c r="L126" s="152"/>
      <c r="M126" s="157"/>
      <c r="T126" s="158"/>
      <c r="AT126" s="153" t="s">
        <v>249</v>
      </c>
      <c r="AU126" s="153" t="s">
        <v>86</v>
      </c>
      <c r="AV126" s="12" t="s">
        <v>86</v>
      </c>
      <c r="AW126" s="12" t="s">
        <v>37</v>
      </c>
      <c r="AX126" s="12" t="s">
        <v>76</v>
      </c>
      <c r="AY126" s="153" t="s">
        <v>144</v>
      </c>
    </row>
    <row r="127" spans="2:51" s="12" customFormat="1" ht="20.4">
      <c r="B127" s="152"/>
      <c r="D127" s="145" t="s">
        <v>249</v>
      </c>
      <c r="E127" s="153" t="s">
        <v>19</v>
      </c>
      <c r="F127" s="154" t="s">
        <v>987</v>
      </c>
      <c r="H127" s="155">
        <v>29.2</v>
      </c>
      <c r="I127" s="156"/>
      <c r="L127" s="152"/>
      <c r="M127" s="157"/>
      <c r="T127" s="158"/>
      <c r="AT127" s="153" t="s">
        <v>249</v>
      </c>
      <c r="AU127" s="153" t="s">
        <v>86</v>
      </c>
      <c r="AV127" s="12" t="s">
        <v>86</v>
      </c>
      <c r="AW127" s="12" t="s">
        <v>37</v>
      </c>
      <c r="AX127" s="12" t="s">
        <v>76</v>
      </c>
      <c r="AY127" s="153" t="s">
        <v>144</v>
      </c>
    </row>
    <row r="128" spans="2:51" s="12" customFormat="1" ht="30.6">
      <c r="B128" s="152"/>
      <c r="D128" s="145" t="s">
        <v>249</v>
      </c>
      <c r="E128" s="153" t="s">
        <v>19</v>
      </c>
      <c r="F128" s="154" t="s">
        <v>988</v>
      </c>
      <c r="H128" s="155">
        <v>120</v>
      </c>
      <c r="I128" s="156"/>
      <c r="L128" s="152"/>
      <c r="M128" s="157"/>
      <c r="T128" s="158"/>
      <c r="AT128" s="153" t="s">
        <v>249</v>
      </c>
      <c r="AU128" s="153" t="s">
        <v>86</v>
      </c>
      <c r="AV128" s="12" t="s">
        <v>86</v>
      </c>
      <c r="AW128" s="12" t="s">
        <v>37</v>
      </c>
      <c r="AX128" s="12" t="s">
        <v>76</v>
      </c>
      <c r="AY128" s="153" t="s">
        <v>144</v>
      </c>
    </row>
    <row r="129" spans="2:51" s="13" customFormat="1" ht="12">
      <c r="B129" s="159"/>
      <c r="D129" s="145" t="s">
        <v>249</v>
      </c>
      <c r="E129" s="160" t="s">
        <v>19</v>
      </c>
      <c r="F129" s="161" t="s">
        <v>251</v>
      </c>
      <c r="H129" s="162">
        <v>562.2</v>
      </c>
      <c r="I129" s="163"/>
      <c r="L129" s="159"/>
      <c r="M129" s="164"/>
      <c r="T129" s="165"/>
      <c r="AT129" s="160" t="s">
        <v>249</v>
      </c>
      <c r="AU129" s="160" t="s">
        <v>86</v>
      </c>
      <c r="AV129" s="13" t="s">
        <v>166</v>
      </c>
      <c r="AW129" s="13" t="s">
        <v>37</v>
      </c>
      <c r="AX129" s="13" t="s">
        <v>84</v>
      </c>
      <c r="AY129" s="160" t="s">
        <v>144</v>
      </c>
    </row>
    <row r="130" spans="2:65" s="1" customFormat="1" ht="42.6" customHeight="1">
      <c r="B130" s="33"/>
      <c r="C130" s="128" t="s">
        <v>201</v>
      </c>
      <c r="D130" s="128" t="s">
        <v>147</v>
      </c>
      <c r="E130" s="129" t="s">
        <v>989</v>
      </c>
      <c r="F130" s="130" t="s">
        <v>990</v>
      </c>
      <c r="G130" s="131" t="s">
        <v>324</v>
      </c>
      <c r="H130" s="132">
        <v>25</v>
      </c>
      <c r="I130" s="133"/>
      <c r="J130" s="134">
        <f>ROUND(I130*H130,2)</f>
        <v>0</v>
      </c>
      <c r="K130" s="130" t="s">
        <v>151</v>
      </c>
      <c r="L130" s="33"/>
      <c r="M130" s="135" t="s">
        <v>19</v>
      </c>
      <c r="N130" s="136" t="s">
        <v>47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166</v>
      </c>
      <c r="AT130" s="139" t="s">
        <v>147</v>
      </c>
      <c r="AU130" s="139" t="s">
        <v>86</v>
      </c>
      <c r="AY130" s="18" t="s">
        <v>144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8" t="s">
        <v>84</v>
      </c>
      <c r="BK130" s="140">
        <f>ROUND(I130*H130,2)</f>
        <v>0</v>
      </c>
      <c r="BL130" s="18" t="s">
        <v>166</v>
      </c>
      <c r="BM130" s="139" t="s">
        <v>991</v>
      </c>
    </row>
    <row r="131" spans="2:47" s="1" customFormat="1" ht="12">
      <c r="B131" s="33"/>
      <c r="D131" s="141" t="s">
        <v>154</v>
      </c>
      <c r="F131" s="142" t="s">
        <v>992</v>
      </c>
      <c r="I131" s="143"/>
      <c r="L131" s="33"/>
      <c r="M131" s="144"/>
      <c r="T131" s="54"/>
      <c r="AT131" s="18" t="s">
        <v>154</v>
      </c>
      <c r="AU131" s="18" t="s">
        <v>86</v>
      </c>
    </row>
    <row r="132" spans="2:51" s="12" customFormat="1" ht="12">
      <c r="B132" s="152"/>
      <c r="D132" s="145" t="s">
        <v>249</v>
      </c>
      <c r="E132" s="153" t="s">
        <v>19</v>
      </c>
      <c r="F132" s="154" t="s">
        <v>993</v>
      </c>
      <c r="H132" s="155">
        <v>25</v>
      </c>
      <c r="I132" s="156"/>
      <c r="L132" s="152"/>
      <c r="M132" s="157"/>
      <c r="T132" s="158"/>
      <c r="AT132" s="153" t="s">
        <v>249</v>
      </c>
      <c r="AU132" s="153" t="s">
        <v>86</v>
      </c>
      <c r="AV132" s="12" t="s">
        <v>86</v>
      </c>
      <c r="AW132" s="12" t="s">
        <v>37</v>
      </c>
      <c r="AX132" s="12" t="s">
        <v>76</v>
      </c>
      <c r="AY132" s="153" t="s">
        <v>144</v>
      </c>
    </row>
    <row r="133" spans="2:51" s="13" customFormat="1" ht="12">
      <c r="B133" s="159"/>
      <c r="D133" s="145" t="s">
        <v>249</v>
      </c>
      <c r="E133" s="160" t="s">
        <v>19</v>
      </c>
      <c r="F133" s="161" t="s">
        <v>251</v>
      </c>
      <c r="H133" s="162">
        <v>25</v>
      </c>
      <c r="I133" s="163"/>
      <c r="L133" s="159"/>
      <c r="M133" s="164"/>
      <c r="T133" s="165"/>
      <c r="AT133" s="160" t="s">
        <v>249</v>
      </c>
      <c r="AU133" s="160" t="s">
        <v>86</v>
      </c>
      <c r="AV133" s="13" t="s">
        <v>166</v>
      </c>
      <c r="AW133" s="13" t="s">
        <v>37</v>
      </c>
      <c r="AX133" s="13" t="s">
        <v>84</v>
      </c>
      <c r="AY133" s="160" t="s">
        <v>144</v>
      </c>
    </row>
    <row r="134" spans="2:65" s="1" customFormat="1" ht="60.45" customHeight="1">
      <c r="B134" s="33"/>
      <c r="C134" s="128" t="s">
        <v>208</v>
      </c>
      <c r="D134" s="128" t="s">
        <v>147</v>
      </c>
      <c r="E134" s="129" t="s">
        <v>351</v>
      </c>
      <c r="F134" s="130" t="s">
        <v>352</v>
      </c>
      <c r="G134" s="131" t="s">
        <v>324</v>
      </c>
      <c r="H134" s="132">
        <v>1563.8</v>
      </c>
      <c r="I134" s="133"/>
      <c r="J134" s="134">
        <f>ROUND(I134*H134,2)</f>
        <v>0</v>
      </c>
      <c r="K134" s="130" t="s">
        <v>151</v>
      </c>
      <c r="L134" s="33"/>
      <c r="M134" s="135" t="s">
        <v>19</v>
      </c>
      <c r="N134" s="136" t="s">
        <v>47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166</v>
      </c>
      <c r="AT134" s="139" t="s">
        <v>147</v>
      </c>
      <c r="AU134" s="139" t="s">
        <v>86</v>
      </c>
      <c r="AY134" s="18" t="s">
        <v>144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84</v>
      </c>
      <c r="BK134" s="140">
        <f>ROUND(I134*H134,2)</f>
        <v>0</v>
      </c>
      <c r="BL134" s="18" t="s">
        <v>166</v>
      </c>
      <c r="BM134" s="139" t="s">
        <v>994</v>
      </c>
    </row>
    <row r="135" spans="2:47" s="1" customFormat="1" ht="12">
      <c r="B135" s="33"/>
      <c r="D135" s="141" t="s">
        <v>154</v>
      </c>
      <c r="F135" s="142" t="s">
        <v>354</v>
      </c>
      <c r="I135" s="143"/>
      <c r="L135" s="33"/>
      <c r="M135" s="144"/>
      <c r="T135" s="54"/>
      <c r="AT135" s="18" t="s">
        <v>154</v>
      </c>
      <c r="AU135" s="18" t="s">
        <v>86</v>
      </c>
    </row>
    <row r="136" spans="2:51" s="12" customFormat="1" ht="12">
      <c r="B136" s="152"/>
      <c r="D136" s="145" t="s">
        <v>249</v>
      </c>
      <c r="E136" s="153" t="s">
        <v>19</v>
      </c>
      <c r="F136" s="154" t="s">
        <v>995</v>
      </c>
      <c r="H136" s="155">
        <v>413</v>
      </c>
      <c r="I136" s="156"/>
      <c r="L136" s="152"/>
      <c r="M136" s="157"/>
      <c r="T136" s="158"/>
      <c r="AT136" s="153" t="s">
        <v>249</v>
      </c>
      <c r="AU136" s="153" t="s">
        <v>86</v>
      </c>
      <c r="AV136" s="12" t="s">
        <v>86</v>
      </c>
      <c r="AW136" s="12" t="s">
        <v>37</v>
      </c>
      <c r="AX136" s="12" t="s">
        <v>76</v>
      </c>
      <c r="AY136" s="153" t="s">
        <v>144</v>
      </c>
    </row>
    <row r="137" spans="2:51" s="12" customFormat="1" ht="20.4">
      <c r="B137" s="152"/>
      <c r="D137" s="145" t="s">
        <v>249</v>
      </c>
      <c r="E137" s="153" t="s">
        <v>19</v>
      </c>
      <c r="F137" s="154" t="s">
        <v>996</v>
      </c>
      <c r="H137" s="155">
        <v>25</v>
      </c>
      <c r="I137" s="156"/>
      <c r="L137" s="152"/>
      <c r="M137" s="157"/>
      <c r="T137" s="158"/>
      <c r="AT137" s="153" t="s">
        <v>249</v>
      </c>
      <c r="AU137" s="153" t="s">
        <v>86</v>
      </c>
      <c r="AV137" s="12" t="s">
        <v>86</v>
      </c>
      <c r="AW137" s="12" t="s">
        <v>37</v>
      </c>
      <c r="AX137" s="12" t="s">
        <v>76</v>
      </c>
      <c r="AY137" s="153" t="s">
        <v>144</v>
      </c>
    </row>
    <row r="138" spans="2:51" s="12" customFormat="1" ht="20.4">
      <c r="B138" s="152"/>
      <c r="D138" s="145" t="s">
        <v>249</v>
      </c>
      <c r="E138" s="153" t="s">
        <v>19</v>
      </c>
      <c r="F138" s="154" t="s">
        <v>997</v>
      </c>
      <c r="H138" s="155">
        <v>1125.8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51" s="13" customFormat="1" ht="12">
      <c r="B139" s="159"/>
      <c r="D139" s="145" t="s">
        <v>249</v>
      </c>
      <c r="E139" s="160" t="s">
        <v>19</v>
      </c>
      <c r="F139" s="161" t="s">
        <v>251</v>
      </c>
      <c r="H139" s="162">
        <v>1563.8</v>
      </c>
      <c r="I139" s="163"/>
      <c r="L139" s="159"/>
      <c r="M139" s="164"/>
      <c r="T139" s="165"/>
      <c r="AT139" s="160" t="s">
        <v>249</v>
      </c>
      <c r="AU139" s="160" t="s">
        <v>86</v>
      </c>
      <c r="AV139" s="13" t="s">
        <v>166</v>
      </c>
      <c r="AW139" s="13" t="s">
        <v>37</v>
      </c>
      <c r="AX139" s="13" t="s">
        <v>84</v>
      </c>
      <c r="AY139" s="160" t="s">
        <v>144</v>
      </c>
    </row>
    <row r="140" spans="2:65" s="1" customFormat="1" ht="60.45" customHeight="1">
      <c r="B140" s="33"/>
      <c r="C140" s="128" t="s">
        <v>214</v>
      </c>
      <c r="D140" s="128" t="s">
        <v>147</v>
      </c>
      <c r="E140" s="129" t="s">
        <v>361</v>
      </c>
      <c r="F140" s="130" t="s">
        <v>362</v>
      </c>
      <c r="G140" s="131" t="s">
        <v>324</v>
      </c>
      <c r="H140" s="132">
        <v>149.2</v>
      </c>
      <c r="I140" s="133"/>
      <c r="J140" s="134">
        <f>ROUND(I140*H140,2)</f>
        <v>0</v>
      </c>
      <c r="K140" s="130" t="s">
        <v>151</v>
      </c>
      <c r="L140" s="33"/>
      <c r="M140" s="135" t="s">
        <v>19</v>
      </c>
      <c r="N140" s="136" t="s">
        <v>47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166</v>
      </c>
      <c r="AT140" s="139" t="s">
        <v>147</v>
      </c>
      <c r="AU140" s="139" t="s">
        <v>86</v>
      </c>
      <c r="AY140" s="18" t="s">
        <v>144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8" t="s">
        <v>84</v>
      </c>
      <c r="BK140" s="140">
        <f>ROUND(I140*H140,2)</f>
        <v>0</v>
      </c>
      <c r="BL140" s="18" t="s">
        <v>166</v>
      </c>
      <c r="BM140" s="139" t="s">
        <v>998</v>
      </c>
    </row>
    <row r="141" spans="2:47" s="1" customFormat="1" ht="12">
      <c r="B141" s="33"/>
      <c r="D141" s="141" t="s">
        <v>154</v>
      </c>
      <c r="F141" s="142" t="s">
        <v>364</v>
      </c>
      <c r="I141" s="143"/>
      <c r="L141" s="33"/>
      <c r="M141" s="144"/>
      <c r="T141" s="54"/>
      <c r="AT141" s="18" t="s">
        <v>154</v>
      </c>
      <c r="AU141" s="18" t="s">
        <v>86</v>
      </c>
    </row>
    <row r="142" spans="2:51" s="12" customFormat="1" ht="20.4">
      <c r="B142" s="152"/>
      <c r="D142" s="145" t="s">
        <v>249</v>
      </c>
      <c r="E142" s="153" t="s">
        <v>19</v>
      </c>
      <c r="F142" s="154" t="s">
        <v>999</v>
      </c>
      <c r="H142" s="155">
        <v>149.2</v>
      </c>
      <c r="I142" s="156"/>
      <c r="L142" s="152"/>
      <c r="M142" s="157"/>
      <c r="T142" s="158"/>
      <c r="AT142" s="153" t="s">
        <v>249</v>
      </c>
      <c r="AU142" s="153" t="s">
        <v>86</v>
      </c>
      <c r="AV142" s="12" t="s">
        <v>86</v>
      </c>
      <c r="AW142" s="12" t="s">
        <v>37</v>
      </c>
      <c r="AX142" s="12" t="s">
        <v>76</v>
      </c>
      <c r="AY142" s="153" t="s">
        <v>144</v>
      </c>
    </row>
    <row r="143" spans="2:51" s="13" customFormat="1" ht="12">
      <c r="B143" s="159"/>
      <c r="D143" s="145" t="s">
        <v>249</v>
      </c>
      <c r="E143" s="160" t="s">
        <v>19</v>
      </c>
      <c r="F143" s="161" t="s">
        <v>251</v>
      </c>
      <c r="H143" s="162">
        <v>149.2</v>
      </c>
      <c r="I143" s="163"/>
      <c r="L143" s="159"/>
      <c r="M143" s="164"/>
      <c r="T143" s="165"/>
      <c r="AT143" s="160" t="s">
        <v>249</v>
      </c>
      <c r="AU143" s="160" t="s">
        <v>86</v>
      </c>
      <c r="AV143" s="13" t="s">
        <v>166</v>
      </c>
      <c r="AW143" s="13" t="s">
        <v>37</v>
      </c>
      <c r="AX143" s="13" t="s">
        <v>84</v>
      </c>
      <c r="AY143" s="160" t="s">
        <v>144</v>
      </c>
    </row>
    <row r="144" spans="2:65" s="1" customFormat="1" ht="63.9" customHeight="1">
      <c r="B144" s="33"/>
      <c r="C144" s="128" t="s">
        <v>221</v>
      </c>
      <c r="D144" s="128" t="s">
        <v>147</v>
      </c>
      <c r="E144" s="129" t="s">
        <v>369</v>
      </c>
      <c r="F144" s="130" t="s">
        <v>370</v>
      </c>
      <c r="G144" s="131" t="s">
        <v>324</v>
      </c>
      <c r="H144" s="132">
        <v>1492</v>
      </c>
      <c r="I144" s="133"/>
      <c r="J144" s="134">
        <f>ROUND(I144*H144,2)</f>
        <v>0</v>
      </c>
      <c r="K144" s="130" t="s">
        <v>151</v>
      </c>
      <c r="L144" s="33"/>
      <c r="M144" s="135" t="s">
        <v>19</v>
      </c>
      <c r="N144" s="136" t="s">
        <v>47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166</v>
      </c>
      <c r="AT144" s="139" t="s">
        <v>147</v>
      </c>
      <c r="AU144" s="139" t="s">
        <v>86</v>
      </c>
      <c r="AY144" s="18" t="s">
        <v>144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84</v>
      </c>
      <c r="BK144" s="140">
        <f>ROUND(I144*H144,2)</f>
        <v>0</v>
      </c>
      <c r="BL144" s="18" t="s">
        <v>166</v>
      </c>
      <c r="BM144" s="139" t="s">
        <v>1000</v>
      </c>
    </row>
    <row r="145" spans="2:47" s="1" customFormat="1" ht="12">
      <c r="B145" s="33"/>
      <c r="D145" s="141" t="s">
        <v>154</v>
      </c>
      <c r="F145" s="142" t="s">
        <v>372</v>
      </c>
      <c r="I145" s="143"/>
      <c r="L145" s="33"/>
      <c r="M145" s="144"/>
      <c r="T145" s="54"/>
      <c r="AT145" s="18" t="s">
        <v>154</v>
      </c>
      <c r="AU145" s="18" t="s">
        <v>86</v>
      </c>
    </row>
    <row r="146" spans="2:51" s="12" customFormat="1" ht="12">
      <c r="B146" s="152"/>
      <c r="D146" s="145" t="s">
        <v>249</v>
      </c>
      <c r="F146" s="154" t="s">
        <v>1001</v>
      </c>
      <c r="H146" s="155">
        <v>1492</v>
      </c>
      <c r="I146" s="156"/>
      <c r="L146" s="152"/>
      <c r="M146" s="157"/>
      <c r="T146" s="158"/>
      <c r="AT146" s="153" t="s">
        <v>249</v>
      </c>
      <c r="AU146" s="153" t="s">
        <v>86</v>
      </c>
      <c r="AV146" s="12" t="s">
        <v>86</v>
      </c>
      <c r="AW146" s="12" t="s">
        <v>4</v>
      </c>
      <c r="AX146" s="12" t="s">
        <v>84</v>
      </c>
      <c r="AY146" s="153" t="s">
        <v>144</v>
      </c>
    </row>
    <row r="147" spans="2:65" s="1" customFormat="1" ht="42.6" customHeight="1">
      <c r="B147" s="33"/>
      <c r="C147" s="128" t="s">
        <v>225</v>
      </c>
      <c r="D147" s="128" t="s">
        <v>147</v>
      </c>
      <c r="E147" s="129" t="s">
        <v>378</v>
      </c>
      <c r="F147" s="130" t="s">
        <v>379</v>
      </c>
      <c r="G147" s="131" t="s">
        <v>324</v>
      </c>
      <c r="H147" s="132">
        <v>655.63</v>
      </c>
      <c r="I147" s="133"/>
      <c r="J147" s="134">
        <f>ROUND(I147*H147,2)</f>
        <v>0</v>
      </c>
      <c r="K147" s="130" t="s">
        <v>151</v>
      </c>
      <c r="L147" s="33"/>
      <c r="M147" s="135" t="s">
        <v>19</v>
      </c>
      <c r="N147" s="136" t="s">
        <v>47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166</v>
      </c>
      <c r="AT147" s="139" t="s">
        <v>147</v>
      </c>
      <c r="AU147" s="139" t="s">
        <v>86</v>
      </c>
      <c r="AY147" s="18" t="s">
        <v>144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84</v>
      </c>
      <c r="BK147" s="140">
        <f>ROUND(I147*H147,2)</f>
        <v>0</v>
      </c>
      <c r="BL147" s="18" t="s">
        <v>166</v>
      </c>
      <c r="BM147" s="139" t="s">
        <v>1002</v>
      </c>
    </row>
    <row r="148" spans="2:47" s="1" customFormat="1" ht="12">
      <c r="B148" s="33"/>
      <c r="D148" s="141" t="s">
        <v>154</v>
      </c>
      <c r="F148" s="142" t="s">
        <v>381</v>
      </c>
      <c r="I148" s="143"/>
      <c r="L148" s="33"/>
      <c r="M148" s="144"/>
      <c r="T148" s="54"/>
      <c r="AT148" s="18" t="s">
        <v>154</v>
      </c>
      <c r="AU148" s="18" t="s">
        <v>86</v>
      </c>
    </row>
    <row r="149" spans="2:51" s="12" customFormat="1" ht="12">
      <c r="B149" s="152"/>
      <c r="D149" s="145" t="s">
        <v>249</v>
      </c>
      <c r="E149" s="153" t="s">
        <v>19</v>
      </c>
      <c r="F149" s="154" t="s">
        <v>1003</v>
      </c>
      <c r="H149" s="155">
        <v>655.63</v>
      </c>
      <c r="I149" s="156"/>
      <c r="L149" s="152"/>
      <c r="M149" s="157"/>
      <c r="T149" s="158"/>
      <c r="AT149" s="153" t="s">
        <v>249</v>
      </c>
      <c r="AU149" s="153" t="s">
        <v>86</v>
      </c>
      <c r="AV149" s="12" t="s">
        <v>86</v>
      </c>
      <c r="AW149" s="12" t="s">
        <v>37</v>
      </c>
      <c r="AX149" s="12" t="s">
        <v>76</v>
      </c>
      <c r="AY149" s="153" t="s">
        <v>144</v>
      </c>
    </row>
    <row r="150" spans="2:51" s="13" customFormat="1" ht="12">
      <c r="B150" s="159"/>
      <c r="D150" s="145" t="s">
        <v>249</v>
      </c>
      <c r="E150" s="160" t="s">
        <v>19</v>
      </c>
      <c r="F150" s="161" t="s">
        <v>251</v>
      </c>
      <c r="H150" s="162">
        <v>655.63</v>
      </c>
      <c r="I150" s="163"/>
      <c r="L150" s="159"/>
      <c r="M150" s="164"/>
      <c r="T150" s="165"/>
      <c r="AT150" s="160" t="s">
        <v>249</v>
      </c>
      <c r="AU150" s="160" t="s">
        <v>86</v>
      </c>
      <c r="AV150" s="13" t="s">
        <v>166</v>
      </c>
      <c r="AW150" s="13" t="s">
        <v>37</v>
      </c>
      <c r="AX150" s="13" t="s">
        <v>84</v>
      </c>
      <c r="AY150" s="160" t="s">
        <v>144</v>
      </c>
    </row>
    <row r="151" spans="2:65" s="1" customFormat="1" ht="42.6" customHeight="1">
      <c r="B151" s="33"/>
      <c r="C151" s="128" t="s">
        <v>8</v>
      </c>
      <c r="D151" s="128" t="s">
        <v>147</v>
      </c>
      <c r="E151" s="129" t="s">
        <v>1004</v>
      </c>
      <c r="F151" s="130" t="s">
        <v>1005</v>
      </c>
      <c r="G151" s="131" t="s">
        <v>324</v>
      </c>
      <c r="H151" s="132">
        <v>1307</v>
      </c>
      <c r="I151" s="133"/>
      <c r="J151" s="134">
        <f>ROUND(I151*H151,2)</f>
        <v>0</v>
      </c>
      <c r="K151" s="130" t="s">
        <v>151</v>
      </c>
      <c r="L151" s="33"/>
      <c r="M151" s="135" t="s">
        <v>19</v>
      </c>
      <c r="N151" s="136" t="s">
        <v>47</v>
      </c>
      <c r="P151" s="137">
        <f>O151*H151</f>
        <v>0</v>
      </c>
      <c r="Q151" s="137">
        <v>0</v>
      </c>
      <c r="R151" s="137">
        <f>Q151*H151</f>
        <v>0</v>
      </c>
      <c r="S151" s="137">
        <v>0</v>
      </c>
      <c r="T151" s="138">
        <f>S151*H151</f>
        <v>0</v>
      </c>
      <c r="AR151" s="139" t="s">
        <v>166</v>
      </c>
      <c r="AT151" s="139" t="s">
        <v>147</v>
      </c>
      <c r="AU151" s="139" t="s">
        <v>86</v>
      </c>
      <c r="AY151" s="18" t="s">
        <v>144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8" t="s">
        <v>84</v>
      </c>
      <c r="BK151" s="140">
        <f>ROUND(I151*H151,2)</f>
        <v>0</v>
      </c>
      <c r="BL151" s="18" t="s">
        <v>166</v>
      </c>
      <c r="BM151" s="139" t="s">
        <v>1006</v>
      </c>
    </row>
    <row r="152" spans="2:47" s="1" customFormat="1" ht="12">
      <c r="B152" s="33"/>
      <c r="D152" s="141" t="s">
        <v>154</v>
      </c>
      <c r="F152" s="142" t="s">
        <v>1007</v>
      </c>
      <c r="I152" s="143"/>
      <c r="L152" s="33"/>
      <c r="M152" s="144"/>
      <c r="T152" s="54"/>
      <c r="AT152" s="18" t="s">
        <v>154</v>
      </c>
      <c r="AU152" s="18" t="s">
        <v>86</v>
      </c>
    </row>
    <row r="153" spans="2:51" s="12" customFormat="1" ht="12">
      <c r="B153" s="152"/>
      <c r="D153" s="145" t="s">
        <v>249</v>
      </c>
      <c r="E153" s="153" t="s">
        <v>19</v>
      </c>
      <c r="F153" s="154" t="s">
        <v>1008</v>
      </c>
      <c r="H153" s="155">
        <v>20</v>
      </c>
      <c r="I153" s="156"/>
      <c r="L153" s="152"/>
      <c r="M153" s="157"/>
      <c r="T153" s="158"/>
      <c r="AT153" s="153" t="s">
        <v>249</v>
      </c>
      <c r="AU153" s="153" t="s">
        <v>86</v>
      </c>
      <c r="AV153" s="12" t="s">
        <v>86</v>
      </c>
      <c r="AW153" s="12" t="s">
        <v>37</v>
      </c>
      <c r="AX153" s="12" t="s">
        <v>76</v>
      </c>
      <c r="AY153" s="153" t="s">
        <v>144</v>
      </c>
    </row>
    <row r="154" spans="2:51" s="12" customFormat="1" ht="12">
      <c r="B154" s="152"/>
      <c r="D154" s="145" t="s">
        <v>249</v>
      </c>
      <c r="E154" s="153" t="s">
        <v>19</v>
      </c>
      <c r="F154" s="154" t="s">
        <v>1009</v>
      </c>
      <c r="H154" s="155">
        <v>1133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51" s="12" customFormat="1" ht="12">
      <c r="B155" s="152"/>
      <c r="D155" s="145" t="s">
        <v>249</v>
      </c>
      <c r="E155" s="153" t="s">
        <v>19</v>
      </c>
      <c r="F155" s="154" t="s">
        <v>1010</v>
      </c>
      <c r="H155" s="155">
        <v>154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51" s="13" customFormat="1" ht="12">
      <c r="B156" s="159"/>
      <c r="D156" s="145" t="s">
        <v>249</v>
      </c>
      <c r="E156" s="160" t="s">
        <v>19</v>
      </c>
      <c r="F156" s="161" t="s">
        <v>251</v>
      </c>
      <c r="H156" s="162">
        <v>1307</v>
      </c>
      <c r="I156" s="163"/>
      <c r="L156" s="159"/>
      <c r="M156" s="164"/>
      <c r="T156" s="165"/>
      <c r="AT156" s="160" t="s">
        <v>249</v>
      </c>
      <c r="AU156" s="160" t="s">
        <v>86</v>
      </c>
      <c r="AV156" s="13" t="s">
        <v>166</v>
      </c>
      <c r="AW156" s="13" t="s">
        <v>37</v>
      </c>
      <c r="AX156" s="13" t="s">
        <v>84</v>
      </c>
      <c r="AY156" s="160" t="s">
        <v>144</v>
      </c>
    </row>
    <row r="157" spans="2:65" s="1" customFormat="1" ht="36.6" customHeight="1">
      <c r="B157" s="33"/>
      <c r="C157" s="128" t="s">
        <v>330</v>
      </c>
      <c r="D157" s="128" t="s">
        <v>147</v>
      </c>
      <c r="E157" s="129" t="s">
        <v>390</v>
      </c>
      <c r="F157" s="130" t="s">
        <v>391</v>
      </c>
      <c r="G157" s="131" t="s">
        <v>324</v>
      </c>
      <c r="H157" s="132">
        <v>438</v>
      </c>
      <c r="I157" s="133"/>
      <c r="J157" s="134">
        <f>ROUND(I157*H157,2)</f>
        <v>0</v>
      </c>
      <c r="K157" s="130" t="s">
        <v>151</v>
      </c>
      <c r="L157" s="33"/>
      <c r="M157" s="135" t="s">
        <v>19</v>
      </c>
      <c r="N157" s="136" t="s">
        <v>47</v>
      </c>
      <c r="P157" s="137">
        <f>O157*H157</f>
        <v>0</v>
      </c>
      <c r="Q157" s="137">
        <v>0</v>
      </c>
      <c r="R157" s="137">
        <f>Q157*H157</f>
        <v>0</v>
      </c>
      <c r="S157" s="137">
        <v>0</v>
      </c>
      <c r="T157" s="138">
        <f>S157*H157</f>
        <v>0</v>
      </c>
      <c r="AR157" s="139" t="s">
        <v>166</v>
      </c>
      <c r="AT157" s="139" t="s">
        <v>147</v>
      </c>
      <c r="AU157" s="139" t="s">
        <v>86</v>
      </c>
      <c r="AY157" s="18" t="s">
        <v>144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84</v>
      </c>
      <c r="BK157" s="140">
        <f>ROUND(I157*H157,2)</f>
        <v>0</v>
      </c>
      <c r="BL157" s="18" t="s">
        <v>166</v>
      </c>
      <c r="BM157" s="139" t="s">
        <v>1011</v>
      </c>
    </row>
    <row r="158" spans="2:47" s="1" customFormat="1" ht="12">
      <c r="B158" s="33"/>
      <c r="D158" s="141" t="s">
        <v>154</v>
      </c>
      <c r="F158" s="142" t="s">
        <v>393</v>
      </c>
      <c r="I158" s="143"/>
      <c r="L158" s="33"/>
      <c r="M158" s="144"/>
      <c r="T158" s="54"/>
      <c r="AT158" s="18" t="s">
        <v>154</v>
      </c>
      <c r="AU158" s="18" t="s">
        <v>86</v>
      </c>
    </row>
    <row r="159" spans="2:51" s="12" customFormat="1" ht="12">
      <c r="B159" s="152"/>
      <c r="D159" s="145" t="s">
        <v>249</v>
      </c>
      <c r="E159" s="153" t="s">
        <v>19</v>
      </c>
      <c r="F159" s="154" t="s">
        <v>1012</v>
      </c>
      <c r="H159" s="155">
        <v>413</v>
      </c>
      <c r="I159" s="156"/>
      <c r="L159" s="152"/>
      <c r="M159" s="157"/>
      <c r="T159" s="158"/>
      <c r="AT159" s="153" t="s">
        <v>249</v>
      </c>
      <c r="AU159" s="153" t="s">
        <v>86</v>
      </c>
      <c r="AV159" s="12" t="s">
        <v>86</v>
      </c>
      <c r="AW159" s="12" t="s">
        <v>37</v>
      </c>
      <c r="AX159" s="12" t="s">
        <v>76</v>
      </c>
      <c r="AY159" s="153" t="s">
        <v>144</v>
      </c>
    </row>
    <row r="160" spans="2:51" s="12" customFormat="1" ht="12">
      <c r="B160" s="152"/>
      <c r="D160" s="145" t="s">
        <v>249</v>
      </c>
      <c r="E160" s="153" t="s">
        <v>19</v>
      </c>
      <c r="F160" s="154" t="s">
        <v>1013</v>
      </c>
      <c r="H160" s="155">
        <v>25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76</v>
      </c>
      <c r="AY160" s="153" t="s">
        <v>144</v>
      </c>
    </row>
    <row r="161" spans="2:51" s="13" customFormat="1" ht="12">
      <c r="B161" s="159"/>
      <c r="D161" s="145" t="s">
        <v>249</v>
      </c>
      <c r="E161" s="160" t="s">
        <v>19</v>
      </c>
      <c r="F161" s="161" t="s">
        <v>251</v>
      </c>
      <c r="H161" s="162">
        <v>438</v>
      </c>
      <c r="I161" s="163"/>
      <c r="L161" s="159"/>
      <c r="M161" s="164"/>
      <c r="T161" s="165"/>
      <c r="AT161" s="160" t="s">
        <v>249</v>
      </c>
      <c r="AU161" s="160" t="s">
        <v>86</v>
      </c>
      <c r="AV161" s="13" t="s">
        <v>166</v>
      </c>
      <c r="AW161" s="13" t="s">
        <v>37</v>
      </c>
      <c r="AX161" s="13" t="s">
        <v>84</v>
      </c>
      <c r="AY161" s="160" t="s">
        <v>144</v>
      </c>
    </row>
    <row r="162" spans="2:65" s="1" customFormat="1" ht="23.7" customHeight="1">
      <c r="B162" s="33"/>
      <c r="C162" s="128" t="s">
        <v>336</v>
      </c>
      <c r="D162" s="128" t="s">
        <v>147</v>
      </c>
      <c r="E162" s="129" t="s">
        <v>417</v>
      </c>
      <c r="F162" s="130" t="s">
        <v>418</v>
      </c>
      <c r="G162" s="131" t="s">
        <v>246</v>
      </c>
      <c r="H162" s="132">
        <v>1137</v>
      </c>
      <c r="I162" s="133"/>
      <c r="J162" s="134">
        <f>ROUND(I162*H162,2)</f>
        <v>0</v>
      </c>
      <c r="K162" s="130" t="s">
        <v>151</v>
      </c>
      <c r="L162" s="33"/>
      <c r="M162" s="135" t="s">
        <v>19</v>
      </c>
      <c r="N162" s="136" t="s">
        <v>47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166</v>
      </c>
      <c r="AT162" s="139" t="s">
        <v>147</v>
      </c>
      <c r="AU162" s="139" t="s">
        <v>86</v>
      </c>
      <c r="AY162" s="18" t="s">
        <v>144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84</v>
      </c>
      <c r="BK162" s="140">
        <f>ROUND(I162*H162,2)</f>
        <v>0</v>
      </c>
      <c r="BL162" s="18" t="s">
        <v>166</v>
      </c>
      <c r="BM162" s="139" t="s">
        <v>1014</v>
      </c>
    </row>
    <row r="163" spans="2:47" s="1" customFormat="1" ht="12">
      <c r="B163" s="33"/>
      <c r="D163" s="141" t="s">
        <v>154</v>
      </c>
      <c r="F163" s="142" t="s">
        <v>420</v>
      </c>
      <c r="I163" s="143"/>
      <c r="L163" s="33"/>
      <c r="M163" s="144"/>
      <c r="T163" s="54"/>
      <c r="AT163" s="18" t="s">
        <v>154</v>
      </c>
      <c r="AU163" s="18" t="s">
        <v>86</v>
      </c>
    </row>
    <row r="164" spans="2:51" s="12" customFormat="1" ht="12">
      <c r="B164" s="152"/>
      <c r="D164" s="145" t="s">
        <v>249</v>
      </c>
      <c r="E164" s="153" t="s">
        <v>19</v>
      </c>
      <c r="F164" s="154" t="s">
        <v>1015</v>
      </c>
      <c r="H164" s="155">
        <v>1137</v>
      </c>
      <c r="I164" s="156"/>
      <c r="L164" s="152"/>
      <c r="M164" s="157"/>
      <c r="T164" s="158"/>
      <c r="AT164" s="153" t="s">
        <v>249</v>
      </c>
      <c r="AU164" s="153" t="s">
        <v>86</v>
      </c>
      <c r="AV164" s="12" t="s">
        <v>86</v>
      </c>
      <c r="AW164" s="12" t="s">
        <v>37</v>
      </c>
      <c r="AX164" s="12" t="s">
        <v>76</v>
      </c>
      <c r="AY164" s="153" t="s">
        <v>144</v>
      </c>
    </row>
    <row r="165" spans="2:51" s="13" customFormat="1" ht="12">
      <c r="B165" s="159"/>
      <c r="D165" s="145" t="s">
        <v>249</v>
      </c>
      <c r="E165" s="160" t="s">
        <v>19</v>
      </c>
      <c r="F165" s="161" t="s">
        <v>251</v>
      </c>
      <c r="H165" s="162">
        <v>1137</v>
      </c>
      <c r="I165" s="163"/>
      <c r="L165" s="159"/>
      <c r="M165" s="164"/>
      <c r="T165" s="165"/>
      <c r="AT165" s="160" t="s">
        <v>249</v>
      </c>
      <c r="AU165" s="160" t="s">
        <v>86</v>
      </c>
      <c r="AV165" s="13" t="s">
        <v>166</v>
      </c>
      <c r="AW165" s="13" t="s">
        <v>37</v>
      </c>
      <c r="AX165" s="13" t="s">
        <v>84</v>
      </c>
      <c r="AY165" s="160" t="s">
        <v>144</v>
      </c>
    </row>
    <row r="166" spans="2:63" s="11" customFormat="1" ht="22.8" customHeight="1">
      <c r="B166" s="116"/>
      <c r="D166" s="117" t="s">
        <v>75</v>
      </c>
      <c r="E166" s="126" t="s">
        <v>86</v>
      </c>
      <c r="F166" s="126" t="s">
        <v>428</v>
      </c>
      <c r="I166" s="119"/>
      <c r="J166" s="127">
        <f>BK166</f>
        <v>0</v>
      </c>
      <c r="L166" s="116"/>
      <c r="M166" s="121"/>
      <c r="P166" s="122">
        <f>SUM(P167:P181)</f>
        <v>0</v>
      </c>
      <c r="R166" s="122">
        <f>SUM(R167:R181)</f>
        <v>50.609683</v>
      </c>
      <c r="T166" s="123">
        <f>SUM(T167:T181)</f>
        <v>0</v>
      </c>
      <c r="AR166" s="117" t="s">
        <v>84</v>
      </c>
      <c r="AT166" s="124" t="s">
        <v>75</v>
      </c>
      <c r="AU166" s="124" t="s">
        <v>84</v>
      </c>
      <c r="AY166" s="117" t="s">
        <v>144</v>
      </c>
      <c r="BK166" s="125">
        <f>SUM(BK167:BK181)</f>
        <v>0</v>
      </c>
    </row>
    <row r="167" spans="2:65" s="1" customFormat="1" ht="36.6" customHeight="1">
      <c r="B167" s="33"/>
      <c r="C167" s="128" t="s">
        <v>343</v>
      </c>
      <c r="D167" s="128" t="s">
        <v>147</v>
      </c>
      <c r="E167" s="129" t="s">
        <v>1016</v>
      </c>
      <c r="F167" s="130" t="s">
        <v>1017</v>
      </c>
      <c r="G167" s="131" t="s">
        <v>324</v>
      </c>
      <c r="H167" s="132">
        <v>8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2.16</v>
      </c>
      <c r="R167" s="137">
        <f>Q167*H167</f>
        <v>17.28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1018</v>
      </c>
    </row>
    <row r="168" spans="2:47" s="1" customFormat="1" ht="12">
      <c r="B168" s="33"/>
      <c r="D168" s="141" t="s">
        <v>154</v>
      </c>
      <c r="F168" s="142" t="s">
        <v>1019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51" s="12" customFormat="1" ht="12">
      <c r="B169" s="152"/>
      <c r="D169" s="145" t="s">
        <v>249</v>
      </c>
      <c r="E169" s="153" t="s">
        <v>19</v>
      </c>
      <c r="F169" s="154" t="s">
        <v>1020</v>
      </c>
      <c r="H169" s="155">
        <v>8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51" s="13" customFormat="1" ht="12">
      <c r="B170" s="159"/>
      <c r="D170" s="145" t="s">
        <v>249</v>
      </c>
      <c r="E170" s="160" t="s">
        <v>19</v>
      </c>
      <c r="F170" s="161" t="s">
        <v>251</v>
      </c>
      <c r="H170" s="162">
        <v>8</v>
      </c>
      <c r="I170" s="163"/>
      <c r="L170" s="159"/>
      <c r="M170" s="164"/>
      <c r="T170" s="165"/>
      <c r="AT170" s="160" t="s">
        <v>249</v>
      </c>
      <c r="AU170" s="160" t="s">
        <v>86</v>
      </c>
      <c r="AV170" s="13" t="s">
        <v>166</v>
      </c>
      <c r="AW170" s="13" t="s">
        <v>37</v>
      </c>
      <c r="AX170" s="13" t="s">
        <v>84</v>
      </c>
      <c r="AY170" s="160" t="s">
        <v>144</v>
      </c>
    </row>
    <row r="171" spans="2:65" s="1" customFormat="1" ht="31.95" customHeight="1">
      <c r="B171" s="33"/>
      <c r="C171" s="128" t="s">
        <v>350</v>
      </c>
      <c r="D171" s="128" t="s">
        <v>147</v>
      </c>
      <c r="E171" s="129" t="s">
        <v>1021</v>
      </c>
      <c r="F171" s="130" t="s">
        <v>1022</v>
      </c>
      <c r="G171" s="131" t="s">
        <v>324</v>
      </c>
      <c r="H171" s="132">
        <v>10</v>
      </c>
      <c r="I171" s="133"/>
      <c r="J171" s="134">
        <f>ROUND(I171*H171,2)</f>
        <v>0</v>
      </c>
      <c r="K171" s="130" t="s">
        <v>151</v>
      </c>
      <c r="L171" s="33"/>
      <c r="M171" s="135" t="s">
        <v>19</v>
      </c>
      <c r="N171" s="136" t="s">
        <v>47</v>
      </c>
      <c r="P171" s="137">
        <f>O171*H171</f>
        <v>0</v>
      </c>
      <c r="Q171" s="137">
        <v>2.50187</v>
      </c>
      <c r="R171" s="137">
        <f>Q171*H171</f>
        <v>25.0187</v>
      </c>
      <c r="S171" s="137">
        <v>0</v>
      </c>
      <c r="T171" s="138">
        <f>S171*H171</f>
        <v>0</v>
      </c>
      <c r="AR171" s="139" t="s">
        <v>166</v>
      </c>
      <c r="AT171" s="139" t="s">
        <v>147</v>
      </c>
      <c r="AU171" s="139" t="s">
        <v>86</v>
      </c>
      <c r="AY171" s="18" t="s">
        <v>144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84</v>
      </c>
      <c r="BK171" s="140">
        <f>ROUND(I171*H171,2)</f>
        <v>0</v>
      </c>
      <c r="BL171" s="18" t="s">
        <v>166</v>
      </c>
      <c r="BM171" s="139" t="s">
        <v>1023</v>
      </c>
    </row>
    <row r="172" spans="2:47" s="1" customFormat="1" ht="12">
      <c r="B172" s="33"/>
      <c r="D172" s="141" t="s">
        <v>154</v>
      </c>
      <c r="F172" s="142" t="s">
        <v>1024</v>
      </c>
      <c r="I172" s="143"/>
      <c r="L172" s="33"/>
      <c r="M172" s="144"/>
      <c r="T172" s="54"/>
      <c r="AT172" s="18" t="s">
        <v>154</v>
      </c>
      <c r="AU172" s="18" t="s">
        <v>86</v>
      </c>
    </row>
    <row r="173" spans="2:51" s="12" customFormat="1" ht="12">
      <c r="B173" s="152"/>
      <c r="D173" s="145" t="s">
        <v>249</v>
      </c>
      <c r="E173" s="153" t="s">
        <v>19</v>
      </c>
      <c r="F173" s="154" t="s">
        <v>1025</v>
      </c>
      <c r="H173" s="155">
        <v>10</v>
      </c>
      <c r="I173" s="156"/>
      <c r="L173" s="152"/>
      <c r="M173" s="157"/>
      <c r="T173" s="158"/>
      <c r="AT173" s="153" t="s">
        <v>249</v>
      </c>
      <c r="AU173" s="153" t="s">
        <v>86</v>
      </c>
      <c r="AV173" s="12" t="s">
        <v>86</v>
      </c>
      <c r="AW173" s="12" t="s">
        <v>37</v>
      </c>
      <c r="AX173" s="12" t="s">
        <v>76</v>
      </c>
      <c r="AY173" s="153" t="s">
        <v>144</v>
      </c>
    </row>
    <row r="174" spans="2:51" s="13" customFormat="1" ht="12">
      <c r="B174" s="159"/>
      <c r="D174" s="145" t="s">
        <v>249</v>
      </c>
      <c r="E174" s="160" t="s">
        <v>19</v>
      </c>
      <c r="F174" s="161" t="s">
        <v>251</v>
      </c>
      <c r="H174" s="162">
        <v>10</v>
      </c>
      <c r="I174" s="163"/>
      <c r="L174" s="159"/>
      <c r="M174" s="164"/>
      <c r="T174" s="165"/>
      <c r="AT174" s="160" t="s">
        <v>249</v>
      </c>
      <c r="AU174" s="160" t="s">
        <v>86</v>
      </c>
      <c r="AV174" s="13" t="s">
        <v>166</v>
      </c>
      <c r="AW174" s="13" t="s">
        <v>37</v>
      </c>
      <c r="AX174" s="13" t="s">
        <v>84</v>
      </c>
      <c r="AY174" s="160" t="s">
        <v>144</v>
      </c>
    </row>
    <row r="175" spans="2:65" s="1" customFormat="1" ht="23.7" customHeight="1">
      <c r="B175" s="33"/>
      <c r="C175" s="128" t="s">
        <v>360</v>
      </c>
      <c r="D175" s="128" t="s">
        <v>147</v>
      </c>
      <c r="E175" s="129" t="s">
        <v>1026</v>
      </c>
      <c r="F175" s="130" t="s">
        <v>1027</v>
      </c>
      <c r="G175" s="131" t="s">
        <v>413</v>
      </c>
      <c r="H175" s="132">
        <v>1</v>
      </c>
      <c r="I175" s="133"/>
      <c r="J175" s="134">
        <f>ROUND(I175*H175,2)</f>
        <v>0</v>
      </c>
      <c r="K175" s="130" t="s">
        <v>151</v>
      </c>
      <c r="L175" s="33"/>
      <c r="M175" s="135" t="s">
        <v>19</v>
      </c>
      <c r="N175" s="136" t="s">
        <v>47</v>
      </c>
      <c r="P175" s="137">
        <f>O175*H175</f>
        <v>0</v>
      </c>
      <c r="Q175" s="137">
        <v>1.06277</v>
      </c>
      <c r="R175" s="137">
        <f>Q175*H175</f>
        <v>1.06277</v>
      </c>
      <c r="S175" s="137">
        <v>0</v>
      </c>
      <c r="T175" s="138">
        <f>S175*H175</f>
        <v>0</v>
      </c>
      <c r="AR175" s="139" t="s">
        <v>166</v>
      </c>
      <c r="AT175" s="139" t="s">
        <v>147</v>
      </c>
      <c r="AU175" s="139" t="s">
        <v>86</v>
      </c>
      <c r="AY175" s="18" t="s">
        <v>144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84</v>
      </c>
      <c r="BK175" s="140">
        <f>ROUND(I175*H175,2)</f>
        <v>0</v>
      </c>
      <c r="BL175" s="18" t="s">
        <v>166</v>
      </c>
      <c r="BM175" s="139" t="s">
        <v>1028</v>
      </c>
    </row>
    <row r="176" spans="2:47" s="1" customFormat="1" ht="12">
      <c r="B176" s="33"/>
      <c r="D176" s="141" t="s">
        <v>154</v>
      </c>
      <c r="F176" s="142" t="s">
        <v>1029</v>
      </c>
      <c r="I176" s="143"/>
      <c r="L176" s="33"/>
      <c r="M176" s="144"/>
      <c r="T176" s="54"/>
      <c r="AT176" s="18" t="s">
        <v>154</v>
      </c>
      <c r="AU176" s="18" t="s">
        <v>86</v>
      </c>
    </row>
    <row r="177" spans="2:51" s="12" customFormat="1" ht="12">
      <c r="B177" s="152"/>
      <c r="D177" s="145" t="s">
        <v>249</v>
      </c>
      <c r="F177" s="154" t="s">
        <v>1030</v>
      </c>
      <c r="H177" s="155">
        <v>1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4</v>
      </c>
      <c r="AX177" s="12" t="s">
        <v>84</v>
      </c>
      <c r="AY177" s="153" t="s">
        <v>144</v>
      </c>
    </row>
    <row r="178" spans="2:65" s="1" customFormat="1" ht="23.7" customHeight="1">
      <c r="B178" s="33"/>
      <c r="C178" s="128" t="s">
        <v>7</v>
      </c>
      <c r="D178" s="128" t="s">
        <v>147</v>
      </c>
      <c r="E178" s="129" t="s">
        <v>1031</v>
      </c>
      <c r="F178" s="130" t="s">
        <v>1032</v>
      </c>
      <c r="G178" s="131" t="s">
        <v>324</v>
      </c>
      <c r="H178" s="132">
        <v>3.15</v>
      </c>
      <c r="I178" s="133"/>
      <c r="J178" s="134">
        <f>ROUND(I178*H178,2)</f>
        <v>0</v>
      </c>
      <c r="K178" s="130" t="s">
        <v>151</v>
      </c>
      <c r="L178" s="33"/>
      <c r="M178" s="135" t="s">
        <v>19</v>
      </c>
      <c r="N178" s="136" t="s">
        <v>47</v>
      </c>
      <c r="P178" s="137">
        <f>O178*H178</f>
        <v>0</v>
      </c>
      <c r="Q178" s="137">
        <v>2.30102</v>
      </c>
      <c r="R178" s="137">
        <f>Q178*H178</f>
        <v>7.248212999999999</v>
      </c>
      <c r="S178" s="137">
        <v>0</v>
      </c>
      <c r="T178" s="138">
        <f>S178*H178</f>
        <v>0</v>
      </c>
      <c r="AR178" s="139" t="s">
        <v>166</v>
      </c>
      <c r="AT178" s="139" t="s">
        <v>147</v>
      </c>
      <c r="AU178" s="139" t="s">
        <v>86</v>
      </c>
      <c r="AY178" s="18" t="s">
        <v>144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8" t="s">
        <v>84</v>
      </c>
      <c r="BK178" s="140">
        <f>ROUND(I178*H178,2)</f>
        <v>0</v>
      </c>
      <c r="BL178" s="18" t="s">
        <v>166</v>
      </c>
      <c r="BM178" s="139" t="s">
        <v>1033</v>
      </c>
    </row>
    <row r="179" spans="2:47" s="1" customFormat="1" ht="12">
      <c r="B179" s="33"/>
      <c r="D179" s="141" t="s">
        <v>154</v>
      </c>
      <c r="F179" s="142" t="s">
        <v>1034</v>
      </c>
      <c r="I179" s="143"/>
      <c r="L179" s="33"/>
      <c r="M179" s="144"/>
      <c r="T179" s="54"/>
      <c r="AT179" s="18" t="s">
        <v>154</v>
      </c>
      <c r="AU179" s="18" t="s">
        <v>86</v>
      </c>
    </row>
    <row r="180" spans="2:51" s="12" customFormat="1" ht="12">
      <c r="B180" s="152"/>
      <c r="D180" s="145" t="s">
        <v>249</v>
      </c>
      <c r="E180" s="153" t="s">
        <v>19</v>
      </c>
      <c r="F180" s="154" t="s">
        <v>1035</v>
      </c>
      <c r="H180" s="155">
        <v>3.15</v>
      </c>
      <c r="I180" s="156"/>
      <c r="L180" s="152"/>
      <c r="M180" s="157"/>
      <c r="T180" s="158"/>
      <c r="AT180" s="153" t="s">
        <v>249</v>
      </c>
      <c r="AU180" s="153" t="s">
        <v>86</v>
      </c>
      <c r="AV180" s="12" t="s">
        <v>86</v>
      </c>
      <c r="AW180" s="12" t="s">
        <v>37</v>
      </c>
      <c r="AX180" s="12" t="s">
        <v>76</v>
      </c>
      <c r="AY180" s="153" t="s">
        <v>144</v>
      </c>
    </row>
    <row r="181" spans="2:51" s="13" customFormat="1" ht="12">
      <c r="B181" s="159"/>
      <c r="D181" s="145" t="s">
        <v>249</v>
      </c>
      <c r="E181" s="160" t="s">
        <v>19</v>
      </c>
      <c r="F181" s="161" t="s">
        <v>251</v>
      </c>
      <c r="H181" s="162">
        <v>3.15</v>
      </c>
      <c r="I181" s="163"/>
      <c r="L181" s="159"/>
      <c r="M181" s="164"/>
      <c r="T181" s="165"/>
      <c r="AT181" s="160" t="s">
        <v>249</v>
      </c>
      <c r="AU181" s="160" t="s">
        <v>86</v>
      </c>
      <c r="AV181" s="13" t="s">
        <v>166</v>
      </c>
      <c r="AW181" s="13" t="s">
        <v>37</v>
      </c>
      <c r="AX181" s="13" t="s">
        <v>84</v>
      </c>
      <c r="AY181" s="160" t="s">
        <v>144</v>
      </c>
    </row>
    <row r="182" spans="2:63" s="11" customFormat="1" ht="22.8" customHeight="1">
      <c r="B182" s="116"/>
      <c r="D182" s="117" t="s">
        <v>75</v>
      </c>
      <c r="E182" s="126" t="s">
        <v>162</v>
      </c>
      <c r="F182" s="126" t="s">
        <v>1036</v>
      </c>
      <c r="I182" s="119"/>
      <c r="J182" s="127">
        <f>BK182</f>
        <v>0</v>
      </c>
      <c r="L182" s="116"/>
      <c r="M182" s="121"/>
      <c r="P182" s="122">
        <f>SUM(P183:P188)</f>
        <v>0</v>
      </c>
      <c r="R182" s="122">
        <f>SUM(R183:R188)</f>
        <v>9.217649999999999</v>
      </c>
      <c r="T182" s="123">
        <f>SUM(T183:T188)</f>
        <v>0</v>
      </c>
      <c r="AR182" s="117" t="s">
        <v>84</v>
      </c>
      <c r="AT182" s="124" t="s">
        <v>75</v>
      </c>
      <c r="AU182" s="124" t="s">
        <v>84</v>
      </c>
      <c r="AY182" s="117" t="s">
        <v>144</v>
      </c>
      <c r="BK182" s="125">
        <f>SUM(BK183:BK188)</f>
        <v>0</v>
      </c>
    </row>
    <row r="183" spans="2:65" s="1" customFormat="1" ht="31.95" customHeight="1">
      <c r="B183" s="33"/>
      <c r="C183" s="128" t="s">
        <v>377</v>
      </c>
      <c r="D183" s="128" t="s">
        <v>147</v>
      </c>
      <c r="E183" s="129" t="s">
        <v>1037</v>
      </c>
      <c r="F183" s="130" t="s">
        <v>1038</v>
      </c>
      <c r="G183" s="131" t="s">
        <v>308</v>
      </c>
      <c r="H183" s="132">
        <v>13</v>
      </c>
      <c r="I183" s="133"/>
      <c r="J183" s="134">
        <f>ROUND(I183*H183,2)</f>
        <v>0</v>
      </c>
      <c r="K183" s="130" t="s">
        <v>151</v>
      </c>
      <c r="L183" s="33"/>
      <c r="M183" s="135" t="s">
        <v>19</v>
      </c>
      <c r="N183" s="136" t="s">
        <v>47</v>
      </c>
      <c r="P183" s="137">
        <f>O183*H183</f>
        <v>0</v>
      </c>
      <c r="Q183" s="137">
        <v>0.29757</v>
      </c>
      <c r="R183" s="137">
        <f>Q183*H183</f>
        <v>3.86841</v>
      </c>
      <c r="S183" s="137">
        <v>0</v>
      </c>
      <c r="T183" s="138">
        <f>S183*H183</f>
        <v>0</v>
      </c>
      <c r="AR183" s="139" t="s">
        <v>166</v>
      </c>
      <c r="AT183" s="139" t="s">
        <v>147</v>
      </c>
      <c r="AU183" s="139" t="s">
        <v>86</v>
      </c>
      <c r="AY183" s="18" t="s">
        <v>144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84</v>
      </c>
      <c r="BK183" s="140">
        <f>ROUND(I183*H183,2)</f>
        <v>0</v>
      </c>
      <c r="BL183" s="18" t="s">
        <v>166</v>
      </c>
      <c r="BM183" s="139" t="s">
        <v>1039</v>
      </c>
    </row>
    <row r="184" spans="2:47" s="1" customFormat="1" ht="12">
      <c r="B184" s="33"/>
      <c r="D184" s="141" t="s">
        <v>154</v>
      </c>
      <c r="F184" s="142" t="s">
        <v>1040</v>
      </c>
      <c r="I184" s="143"/>
      <c r="L184" s="33"/>
      <c r="M184" s="144"/>
      <c r="T184" s="54"/>
      <c r="AT184" s="18" t="s">
        <v>154</v>
      </c>
      <c r="AU184" s="18" t="s">
        <v>86</v>
      </c>
    </row>
    <row r="185" spans="2:51" s="12" customFormat="1" ht="12">
      <c r="B185" s="152"/>
      <c r="D185" s="145" t="s">
        <v>249</v>
      </c>
      <c r="E185" s="153" t="s">
        <v>19</v>
      </c>
      <c r="F185" s="154" t="s">
        <v>1041</v>
      </c>
      <c r="H185" s="155">
        <v>13</v>
      </c>
      <c r="I185" s="156"/>
      <c r="L185" s="152"/>
      <c r="M185" s="157"/>
      <c r="T185" s="158"/>
      <c r="AT185" s="153" t="s">
        <v>249</v>
      </c>
      <c r="AU185" s="153" t="s">
        <v>86</v>
      </c>
      <c r="AV185" s="12" t="s">
        <v>86</v>
      </c>
      <c r="AW185" s="12" t="s">
        <v>37</v>
      </c>
      <c r="AX185" s="12" t="s">
        <v>76</v>
      </c>
      <c r="AY185" s="153" t="s">
        <v>144</v>
      </c>
    </row>
    <row r="186" spans="2:51" s="13" customFormat="1" ht="12">
      <c r="B186" s="159"/>
      <c r="D186" s="145" t="s">
        <v>249</v>
      </c>
      <c r="E186" s="160" t="s">
        <v>19</v>
      </c>
      <c r="F186" s="161" t="s">
        <v>251</v>
      </c>
      <c r="H186" s="162">
        <v>13</v>
      </c>
      <c r="I186" s="163"/>
      <c r="L186" s="159"/>
      <c r="M186" s="164"/>
      <c r="T186" s="165"/>
      <c r="AT186" s="160" t="s">
        <v>249</v>
      </c>
      <c r="AU186" s="160" t="s">
        <v>86</v>
      </c>
      <c r="AV186" s="13" t="s">
        <v>166</v>
      </c>
      <c r="AW186" s="13" t="s">
        <v>37</v>
      </c>
      <c r="AX186" s="13" t="s">
        <v>84</v>
      </c>
      <c r="AY186" s="160" t="s">
        <v>144</v>
      </c>
    </row>
    <row r="187" spans="2:65" s="1" customFormat="1" ht="23.7" customHeight="1">
      <c r="B187" s="33"/>
      <c r="C187" s="172" t="s">
        <v>384</v>
      </c>
      <c r="D187" s="172" t="s">
        <v>410</v>
      </c>
      <c r="E187" s="173" t="s">
        <v>1042</v>
      </c>
      <c r="F187" s="174" t="s">
        <v>1043</v>
      </c>
      <c r="G187" s="175" t="s">
        <v>467</v>
      </c>
      <c r="H187" s="176">
        <v>74.295</v>
      </c>
      <c r="I187" s="177"/>
      <c r="J187" s="178">
        <f>ROUND(I187*H187,2)</f>
        <v>0</v>
      </c>
      <c r="K187" s="174" t="s">
        <v>19</v>
      </c>
      <c r="L187" s="179"/>
      <c r="M187" s="180" t="s">
        <v>19</v>
      </c>
      <c r="N187" s="181" t="s">
        <v>47</v>
      </c>
      <c r="P187" s="137">
        <f>O187*H187</f>
        <v>0</v>
      </c>
      <c r="Q187" s="137">
        <v>0.072</v>
      </c>
      <c r="R187" s="137">
        <f>Q187*H187</f>
        <v>5.34924</v>
      </c>
      <c r="S187" s="137">
        <v>0</v>
      </c>
      <c r="T187" s="138">
        <f>S187*H187</f>
        <v>0</v>
      </c>
      <c r="AR187" s="139" t="s">
        <v>189</v>
      </c>
      <c r="AT187" s="139" t="s">
        <v>410</v>
      </c>
      <c r="AU187" s="139" t="s">
        <v>86</v>
      </c>
      <c r="AY187" s="18" t="s">
        <v>144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8" t="s">
        <v>84</v>
      </c>
      <c r="BK187" s="140">
        <f>ROUND(I187*H187,2)</f>
        <v>0</v>
      </c>
      <c r="BL187" s="18" t="s">
        <v>166</v>
      </c>
      <c r="BM187" s="139" t="s">
        <v>1044</v>
      </c>
    </row>
    <row r="188" spans="2:51" s="12" customFormat="1" ht="12">
      <c r="B188" s="152"/>
      <c r="D188" s="145" t="s">
        <v>249</v>
      </c>
      <c r="F188" s="154" t="s">
        <v>1045</v>
      </c>
      <c r="H188" s="155">
        <v>74.295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4</v>
      </c>
      <c r="AX188" s="12" t="s">
        <v>84</v>
      </c>
      <c r="AY188" s="153" t="s">
        <v>144</v>
      </c>
    </row>
    <row r="189" spans="2:63" s="11" customFormat="1" ht="22.8" customHeight="1">
      <c r="B189" s="116"/>
      <c r="D189" s="117" t="s">
        <v>75</v>
      </c>
      <c r="E189" s="126" t="s">
        <v>166</v>
      </c>
      <c r="F189" s="126" t="s">
        <v>463</v>
      </c>
      <c r="I189" s="119"/>
      <c r="J189" s="127">
        <f>BK189</f>
        <v>0</v>
      </c>
      <c r="L189" s="116"/>
      <c r="M189" s="121"/>
      <c r="P189" s="122">
        <f>SUM(P190:P194)</f>
        <v>0</v>
      </c>
      <c r="R189" s="122">
        <f>SUM(R190:R194)</f>
        <v>9.8436</v>
      </c>
      <c r="T189" s="123">
        <f>SUM(T190:T194)</f>
        <v>0</v>
      </c>
      <c r="AR189" s="117" t="s">
        <v>84</v>
      </c>
      <c r="AT189" s="124" t="s">
        <v>75</v>
      </c>
      <c r="AU189" s="124" t="s">
        <v>84</v>
      </c>
      <c r="AY189" s="117" t="s">
        <v>144</v>
      </c>
      <c r="BK189" s="125">
        <f>SUM(BK190:BK194)</f>
        <v>0</v>
      </c>
    </row>
    <row r="190" spans="2:65" s="1" customFormat="1" ht="47.4" customHeight="1">
      <c r="B190" s="33"/>
      <c r="C190" s="128" t="s">
        <v>389</v>
      </c>
      <c r="D190" s="128" t="s">
        <v>147</v>
      </c>
      <c r="E190" s="129" t="s">
        <v>1046</v>
      </c>
      <c r="F190" s="130" t="s">
        <v>1047</v>
      </c>
      <c r="G190" s="131" t="s">
        <v>308</v>
      </c>
      <c r="H190" s="132">
        <v>104</v>
      </c>
      <c r="I190" s="133"/>
      <c r="J190" s="134">
        <f>ROUND(I190*H190,2)</f>
        <v>0</v>
      </c>
      <c r="K190" s="130" t="s">
        <v>151</v>
      </c>
      <c r="L190" s="33"/>
      <c r="M190" s="135" t="s">
        <v>19</v>
      </c>
      <c r="N190" s="136" t="s">
        <v>47</v>
      </c>
      <c r="P190" s="137">
        <f>O190*H190</f>
        <v>0</v>
      </c>
      <c r="Q190" s="137">
        <v>0.03465</v>
      </c>
      <c r="R190" s="137">
        <f>Q190*H190</f>
        <v>3.6036</v>
      </c>
      <c r="S190" s="137">
        <v>0</v>
      </c>
      <c r="T190" s="138">
        <f>S190*H190</f>
        <v>0</v>
      </c>
      <c r="AR190" s="139" t="s">
        <v>166</v>
      </c>
      <c r="AT190" s="139" t="s">
        <v>147</v>
      </c>
      <c r="AU190" s="139" t="s">
        <v>86</v>
      </c>
      <c r="AY190" s="18" t="s">
        <v>144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8" t="s">
        <v>84</v>
      </c>
      <c r="BK190" s="140">
        <f>ROUND(I190*H190,2)</f>
        <v>0</v>
      </c>
      <c r="BL190" s="18" t="s">
        <v>166</v>
      </c>
      <c r="BM190" s="139" t="s">
        <v>1048</v>
      </c>
    </row>
    <row r="191" spans="2:47" s="1" customFormat="1" ht="12">
      <c r="B191" s="33"/>
      <c r="D191" s="141" t="s">
        <v>154</v>
      </c>
      <c r="F191" s="142" t="s">
        <v>1049</v>
      </c>
      <c r="I191" s="143"/>
      <c r="L191" s="33"/>
      <c r="M191" s="144"/>
      <c r="T191" s="54"/>
      <c r="AT191" s="18" t="s">
        <v>154</v>
      </c>
      <c r="AU191" s="18" t="s">
        <v>86</v>
      </c>
    </row>
    <row r="192" spans="2:51" s="12" customFormat="1" ht="12">
      <c r="B192" s="152"/>
      <c r="D192" s="145" t="s">
        <v>249</v>
      </c>
      <c r="E192" s="153" t="s">
        <v>19</v>
      </c>
      <c r="F192" s="154" t="s">
        <v>1050</v>
      </c>
      <c r="H192" s="155">
        <v>104</v>
      </c>
      <c r="I192" s="156"/>
      <c r="L192" s="152"/>
      <c r="M192" s="157"/>
      <c r="T192" s="158"/>
      <c r="AT192" s="153" t="s">
        <v>249</v>
      </c>
      <c r="AU192" s="153" t="s">
        <v>86</v>
      </c>
      <c r="AV192" s="12" t="s">
        <v>86</v>
      </c>
      <c r="AW192" s="12" t="s">
        <v>37</v>
      </c>
      <c r="AX192" s="12" t="s">
        <v>76</v>
      </c>
      <c r="AY192" s="153" t="s">
        <v>144</v>
      </c>
    </row>
    <row r="193" spans="2:51" s="13" customFormat="1" ht="12">
      <c r="B193" s="159"/>
      <c r="D193" s="145" t="s">
        <v>249</v>
      </c>
      <c r="E193" s="160" t="s">
        <v>19</v>
      </c>
      <c r="F193" s="161" t="s">
        <v>251</v>
      </c>
      <c r="H193" s="162">
        <v>104</v>
      </c>
      <c r="I193" s="163"/>
      <c r="L193" s="159"/>
      <c r="M193" s="164"/>
      <c r="T193" s="165"/>
      <c r="AT193" s="160" t="s">
        <v>249</v>
      </c>
      <c r="AU193" s="160" t="s">
        <v>86</v>
      </c>
      <c r="AV193" s="13" t="s">
        <v>166</v>
      </c>
      <c r="AW193" s="13" t="s">
        <v>37</v>
      </c>
      <c r="AX193" s="13" t="s">
        <v>84</v>
      </c>
      <c r="AY193" s="160" t="s">
        <v>144</v>
      </c>
    </row>
    <row r="194" spans="2:65" s="1" customFormat="1" ht="15" customHeight="1">
      <c r="B194" s="33"/>
      <c r="C194" s="172" t="s">
        <v>397</v>
      </c>
      <c r="D194" s="172" t="s">
        <v>410</v>
      </c>
      <c r="E194" s="173" t="s">
        <v>1051</v>
      </c>
      <c r="F194" s="174" t="s">
        <v>1052</v>
      </c>
      <c r="G194" s="175" t="s">
        <v>467</v>
      </c>
      <c r="H194" s="176">
        <v>52</v>
      </c>
      <c r="I194" s="177"/>
      <c r="J194" s="178">
        <f>ROUND(I194*H194,2)</f>
        <v>0</v>
      </c>
      <c r="K194" s="174" t="s">
        <v>19</v>
      </c>
      <c r="L194" s="179"/>
      <c r="M194" s="180" t="s">
        <v>19</v>
      </c>
      <c r="N194" s="181" t="s">
        <v>47</v>
      </c>
      <c r="P194" s="137">
        <f>O194*H194</f>
        <v>0</v>
      </c>
      <c r="Q194" s="137">
        <v>0.12</v>
      </c>
      <c r="R194" s="137">
        <f>Q194*H194</f>
        <v>6.24</v>
      </c>
      <c r="S194" s="137">
        <v>0</v>
      </c>
      <c r="T194" s="138">
        <f>S194*H194</f>
        <v>0</v>
      </c>
      <c r="AR194" s="139" t="s">
        <v>189</v>
      </c>
      <c r="AT194" s="139" t="s">
        <v>410</v>
      </c>
      <c r="AU194" s="139" t="s">
        <v>86</v>
      </c>
      <c r="AY194" s="18" t="s">
        <v>144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8" t="s">
        <v>84</v>
      </c>
      <c r="BK194" s="140">
        <f>ROUND(I194*H194,2)</f>
        <v>0</v>
      </c>
      <c r="BL194" s="18" t="s">
        <v>166</v>
      </c>
      <c r="BM194" s="139" t="s">
        <v>1053</v>
      </c>
    </row>
    <row r="195" spans="2:63" s="11" customFormat="1" ht="22.8" customHeight="1">
      <c r="B195" s="116"/>
      <c r="D195" s="117" t="s">
        <v>75</v>
      </c>
      <c r="E195" s="126" t="s">
        <v>143</v>
      </c>
      <c r="F195" s="126" t="s">
        <v>474</v>
      </c>
      <c r="I195" s="119"/>
      <c r="J195" s="127">
        <f>BK195</f>
        <v>0</v>
      </c>
      <c r="L195" s="116"/>
      <c r="M195" s="121"/>
      <c r="P195" s="122">
        <f>SUM(P196:P242)</f>
        <v>0</v>
      </c>
      <c r="R195" s="122">
        <f>SUM(R196:R242)</f>
        <v>251.29582399999998</v>
      </c>
      <c r="T195" s="123">
        <f>SUM(T196:T242)</f>
        <v>0</v>
      </c>
      <c r="AR195" s="117" t="s">
        <v>84</v>
      </c>
      <c r="AT195" s="124" t="s">
        <v>75</v>
      </c>
      <c r="AU195" s="124" t="s">
        <v>84</v>
      </c>
      <c r="AY195" s="117" t="s">
        <v>144</v>
      </c>
      <c r="BK195" s="125">
        <f>SUM(BK196:BK242)</f>
        <v>0</v>
      </c>
    </row>
    <row r="196" spans="2:65" s="1" customFormat="1" ht="31.95" customHeight="1">
      <c r="B196" s="33"/>
      <c r="C196" s="128" t="s">
        <v>403</v>
      </c>
      <c r="D196" s="128" t="s">
        <v>147</v>
      </c>
      <c r="E196" s="129" t="s">
        <v>1054</v>
      </c>
      <c r="F196" s="130" t="s">
        <v>1055</v>
      </c>
      <c r="G196" s="131" t="s">
        <v>246</v>
      </c>
      <c r="H196" s="132">
        <v>1137</v>
      </c>
      <c r="I196" s="133"/>
      <c r="J196" s="134">
        <f>ROUND(I196*H196,2)</f>
        <v>0</v>
      </c>
      <c r="K196" s="130" t="s">
        <v>151</v>
      </c>
      <c r="L196" s="33"/>
      <c r="M196" s="135" t="s">
        <v>19</v>
      </c>
      <c r="N196" s="136" t="s">
        <v>47</v>
      </c>
      <c r="P196" s="137">
        <f>O196*H196</f>
        <v>0</v>
      </c>
      <c r="Q196" s="137">
        <v>0</v>
      </c>
      <c r="R196" s="137">
        <f>Q196*H196</f>
        <v>0</v>
      </c>
      <c r="S196" s="137">
        <v>0</v>
      </c>
      <c r="T196" s="138">
        <f>S196*H196</f>
        <v>0</v>
      </c>
      <c r="AR196" s="139" t="s">
        <v>166</v>
      </c>
      <c r="AT196" s="139" t="s">
        <v>147</v>
      </c>
      <c r="AU196" s="139" t="s">
        <v>86</v>
      </c>
      <c r="AY196" s="18" t="s">
        <v>144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8" t="s">
        <v>84</v>
      </c>
      <c r="BK196" s="140">
        <f>ROUND(I196*H196,2)</f>
        <v>0</v>
      </c>
      <c r="BL196" s="18" t="s">
        <v>166</v>
      </c>
      <c r="BM196" s="139" t="s">
        <v>1056</v>
      </c>
    </row>
    <row r="197" spans="2:47" s="1" customFormat="1" ht="12">
      <c r="B197" s="33"/>
      <c r="D197" s="141" t="s">
        <v>154</v>
      </c>
      <c r="F197" s="142" t="s">
        <v>1057</v>
      </c>
      <c r="I197" s="143"/>
      <c r="L197" s="33"/>
      <c r="M197" s="144"/>
      <c r="T197" s="54"/>
      <c r="AT197" s="18" t="s">
        <v>154</v>
      </c>
      <c r="AU197" s="18" t="s">
        <v>86</v>
      </c>
    </row>
    <row r="198" spans="2:47" s="1" customFormat="1" ht="19.2">
      <c r="B198" s="33"/>
      <c r="D198" s="145" t="s">
        <v>156</v>
      </c>
      <c r="F198" s="146" t="s">
        <v>486</v>
      </c>
      <c r="I198" s="143"/>
      <c r="L198" s="33"/>
      <c r="M198" s="144"/>
      <c r="T198" s="54"/>
      <c r="AT198" s="18" t="s">
        <v>156</v>
      </c>
      <c r="AU198" s="18" t="s">
        <v>86</v>
      </c>
    </row>
    <row r="199" spans="2:51" s="12" customFormat="1" ht="12">
      <c r="B199" s="152"/>
      <c r="D199" s="145" t="s">
        <v>249</v>
      </c>
      <c r="E199" s="153" t="s">
        <v>19</v>
      </c>
      <c r="F199" s="154" t="s">
        <v>1058</v>
      </c>
      <c r="H199" s="155">
        <v>1029</v>
      </c>
      <c r="I199" s="156"/>
      <c r="L199" s="152"/>
      <c r="M199" s="157"/>
      <c r="T199" s="158"/>
      <c r="AT199" s="153" t="s">
        <v>249</v>
      </c>
      <c r="AU199" s="153" t="s">
        <v>86</v>
      </c>
      <c r="AV199" s="12" t="s">
        <v>86</v>
      </c>
      <c r="AW199" s="12" t="s">
        <v>37</v>
      </c>
      <c r="AX199" s="12" t="s">
        <v>76</v>
      </c>
      <c r="AY199" s="153" t="s">
        <v>144</v>
      </c>
    </row>
    <row r="200" spans="2:51" s="12" customFormat="1" ht="12">
      <c r="B200" s="152"/>
      <c r="D200" s="145" t="s">
        <v>249</v>
      </c>
      <c r="E200" s="153" t="s">
        <v>19</v>
      </c>
      <c r="F200" s="154" t="s">
        <v>1059</v>
      </c>
      <c r="H200" s="155">
        <v>73</v>
      </c>
      <c r="I200" s="156"/>
      <c r="L200" s="152"/>
      <c r="M200" s="157"/>
      <c r="T200" s="158"/>
      <c r="AT200" s="153" t="s">
        <v>249</v>
      </c>
      <c r="AU200" s="153" t="s">
        <v>86</v>
      </c>
      <c r="AV200" s="12" t="s">
        <v>86</v>
      </c>
      <c r="AW200" s="12" t="s">
        <v>37</v>
      </c>
      <c r="AX200" s="12" t="s">
        <v>76</v>
      </c>
      <c r="AY200" s="153" t="s">
        <v>144</v>
      </c>
    </row>
    <row r="201" spans="2:51" s="12" customFormat="1" ht="12">
      <c r="B201" s="152"/>
      <c r="D201" s="145" t="s">
        <v>249</v>
      </c>
      <c r="E201" s="153" t="s">
        <v>19</v>
      </c>
      <c r="F201" s="154" t="s">
        <v>1060</v>
      </c>
      <c r="H201" s="155">
        <v>35</v>
      </c>
      <c r="I201" s="156"/>
      <c r="L201" s="152"/>
      <c r="M201" s="157"/>
      <c r="T201" s="158"/>
      <c r="AT201" s="153" t="s">
        <v>249</v>
      </c>
      <c r="AU201" s="153" t="s">
        <v>86</v>
      </c>
      <c r="AV201" s="12" t="s">
        <v>86</v>
      </c>
      <c r="AW201" s="12" t="s">
        <v>37</v>
      </c>
      <c r="AX201" s="12" t="s">
        <v>76</v>
      </c>
      <c r="AY201" s="153" t="s">
        <v>144</v>
      </c>
    </row>
    <row r="202" spans="2:51" s="13" customFormat="1" ht="12">
      <c r="B202" s="159"/>
      <c r="D202" s="145" t="s">
        <v>249</v>
      </c>
      <c r="E202" s="160" t="s">
        <v>19</v>
      </c>
      <c r="F202" s="161" t="s">
        <v>251</v>
      </c>
      <c r="H202" s="162">
        <v>1137</v>
      </c>
      <c r="I202" s="163"/>
      <c r="L202" s="159"/>
      <c r="M202" s="164"/>
      <c r="T202" s="165"/>
      <c r="AT202" s="160" t="s">
        <v>249</v>
      </c>
      <c r="AU202" s="160" t="s">
        <v>86</v>
      </c>
      <c r="AV202" s="13" t="s">
        <v>166</v>
      </c>
      <c r="AW202" s="13" t="s">
        <v>37</v>
      </c>
      <c r="AX202" s="13" t="s">
        <v>84</v>
      </c>
      <c r="AY202" s="160" t="s">
        <v>144</v>
      </c>
    </row>
    <row r="203" spans="2:65" s="1" customFormat="1" ht="31.95" customHeight="1">
      <c r="B203" s="33"/>
      <c r="C203" s="128" t="s">
        <v>409</v>
      </c>
      <c r="D203" s="128" t="s">
        <v>147</v>
      </c>
      <c r="E203" s="129" t="s">
        <v>497</v>
      </c>
      <c r="F203" s="130" t="s">
        <v>498</v>
      </c>
      <c r="G203" s="131" t="s">
        <v>246</v>
      </c>
      <c r="H203" s="132">
        <v>746</v>
      </c>
      <c r="I203" s="133"/>
      <c r="J203" s="134">
        <f>ROUND(I203*H203,2)</f>
        <v>0</v>
      </c>
      <c r="K203" s="130" t="s">
        <v>151</v>
      </c>
      <c r="L203" s="33"/>
      <c r="M203" s="135" t="s">
        <v>19</v>
      </c>
      <c r="N203" s="136" t="s">
        <v>47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166</v>
      </c>
      <c r="AT203" s="139" t="s">
        <v>147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1061</v>
      </c>
    </row>
    <row r="204" spans="2:47" s="1" customFormat="1" ht="12">
      <c r="B204" s="33"/>
      <c r="D204" s="141" t="s">
        <v>154</v>
      </c>
      <c r="F204" s="142" t="s">
        <v>500</v>
      </c>
      <c r="I204" s="143"/>
      <c r="L204" s="33"/>
      <c r="M204" s="144"/>
      <c r="T204" s="54"/>
      <c r="AT204" s="18" t="s">
        <v>154</v>
      </c>
      <c r="AU204" s="18" t="s">
        <v>86</v>
      </c>
    </row>
    <row r="205" spans="2:47" s="1" customFormat="1" ht="19.2">
      <c r="B205" s="33"/>
      <c r="D205" s="145" t="s">
        <v>156</v>
      </c>
      <c r="F205" s="146" t="s">
        <v>486</v>
      </c>
      <c r="I205" s="143"/>
      <c r="L205" s="33"/>
      <c r="M205" s="144"/>
      <c r="T205" s="54"/>
      <c r="AT205" s="18" t="s">
        <v>156</v>
      </c>
      <c r="AU205" s="18" t="s">
        <v>86</v>
      </c>
    </row>
    <row r="206" spans="2:51" s="12" customFormat="1" ht="20.4">
      <c r="B206" s="152"/>
      <c r="D206" s="145" t="s">
        <v>249</v>
      </c>
      <c r="E206" s="153" t="s">
        <v>19</v>
      </c>
      <c r="F206" s="154" t="s">
        <v>1062</v>
      </c>
      <c r="H206" s="155">
        <v>146</v>
      </c>
      <c r="I206" s="156"/>
      <c r="L206" s="152"/>
      <c r="M206" s="157"/>
      <c r="T206" s="158"/>
      <c r="AT206" s="153" t="s">
        <v>249</v>
      </c>
      <c r="AU206" s="153" t="s">
        <v>86</v>
      </c>
      <c r="AV206" s="12" t="s">
        <v>86</v>
      </c>
      <c r="AW206" s="12" t="s">
        <v>37</v>
      </c>
      <c r="AX206" s="12" t="s">
        <v>76</v>
      </c>
      <c r="AY206" s="153" t="s">
        <v>144</v>
      </c>
    </row>
    <row r="207" spans="2:51" s="12" customFormat="1" ht="30.6">
      <c r="B207" s="152"/>
      <c r="D207" s="145" t="s">
        <v>249</v>
      </c>
      <c r="E207" s="153" t="s">
        <v>19</v>
      </c>
      <c r="F207" s="154" t="s">
        <v>1063</v>
      </c>
      <c r="H207" s="155">
        <v>600</v>
      </c>
      <c r="I207" s="156"/>
      <c r="L207" s="152"/>
      <c r="M207" s="157"/>
      <c r="T207" s="158"/>
      <c r="AT207" s="153" t="s">
        <v>249</v>
      </c>
      <c r="AU207" s="153" t="s">
        <v>86</v>
      </c>
      <c r="AV207" s="12" t="s">
        <v>86</v>
      </c>
      <c r="AW207" s="12" t="s">
        <v>37</v>
      </c>
      <c r="AX207" s="12" t="s">
        <v>76</v>
      </c>
      <c r="AY207" s="153" t="s">
        <v>144</v>
      </c>
    </row>
    <row r="208" spans="2:51" s="13" customFormat="1" ht="12">
      <c r="B208" s="159"/>
      <c r="D208" s="145" t="s">
        <v>249</v>
      </c>
      <c r="E208" s="160" t="s">
        <v>19</v>
      </c>
      <c r="F208" s="161" t="s">
        <v>251</v>
      </c>
      <c r="H208" s="162">
        <v>746</v>
      </c>
      <c r="I208" s="163"/>
      <c r="L208" s="159"/>
      <c r="M208" s="164"/>
      <c r="T208" s="165"/>
      <c r="AT208" s="160" t="s">
        <v>249</v>
      </c>
      <c r="AU208" s="160" t="s">
        <v>86</v>
      </c>
      <c r="AV208" s="13" t="s">
        <v>166</v>
      </c>
      <c r="AW208" s="13" t="s">
        <v>37</v>
      </c>
      <c r="AX208" s="13" t="s">
        <v>84</v>
      </c>
      <c r="AY208" s="160" t="s">
        <v>144</v>
      </c>
    </row>
    <row r="209" spans="2:65" s="1" customFormat="1" ht="36.6" customHeight="1">
      <c r="B209" s="33"/>
      <c r="C209" s="128" t="s">
        <v>416</v>
      </c>
      <c r="D209" s="128" t="s">
        <v>147</v>
      </c>
      <c r="E209" s="129" t="s">
        <v>512</v>
      </c>
      <c r="F209" s="130" t="s">
        <v>513</v>
      </c>
      <c r="G209" s="131" t="s">
        <v>246</v>
      </c>
      <c r="H209" s="132">
        <v>73</v>
      </c>
      <c r="I209" s="133"/>
      <c r="J209" s="134">
        <f>ROUND(I209*H209,2)</f>
        <v>0</v>
      </c>
      <c r="K209" s="130" t="s">
        <v>151</v>
      </c>
      <c r="L209" s="33"/>
      <c r="M209" s="135" t="s">
        <v>19</v>
      </c>
      <c r="N209" s="136" t="s">
        <v>47</v>
      </c>
      <c r="P209" s="137">
        <f>O209*H209</f>
        <v>0</v>
      </c>
      <c r="Q209" s="137">
        <v>0</v>
      </c>
      <c r="R209" s="137">
        <f>Q209*H209</f>
        <v>0</v>
      </c>
      <c r="S209" s="137">
        <v>0</v>
      </c>
      <c r="T209" s="138">
        <f>S209*H209</f>
        <v>0</v>
      </c>
      <c r="AR209" s="139" t="s">
        <v>166</v>
      </c>
      <c r="AT209" s="139" t="s">
        <v>147</v>
      </c>
      <c r="AU209" s="139" t="s">
        <v>86</v>
      </c>
      <c r="AY209" s="18" t="s">
        <v>144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8" t="s">
        <v>84</v>
      </c>
      <c r="BK209" s="140">
        <f>ROUND(I209*H209,2)</f>
        <v>0</v>
      </c>
      <c r="BL209" s="18" t="s">
        <v>166</v>
      </c>
      <c r="BM209" s="139" t="s">
        <v>1064</v>
      </c>
    </row>
    <row r="210" spans="2:47" s="1" customFormat="1" ht="12">
      <c r="B210" s="33"/>
      <c r="D210" s="141" t="s">
        <v>154</v>
      </c>
      <c r="F210" s="142" t="s">
        <v>515</v>
      </c>
      <c r="I210" s="143"/>
      <c r="L210" s="33"/>
      <c r="M210" s="144"/>
      <c r="T210" s="54"/>
      <c r="AT210" s="18" t="s">
        <v>154</v>
      </c>
      <c r="AU210" s="18" t="s">
        <v>86</v>
      </c>
    </row>
    <row r="211" spans="2:51" s="12" customFormat="1" ht="12">
      <c r="B211" s="152"/>
      <c r="D211" s="145" t="s">
        <v>249</v>
      </c>
      <c r="E211" s="153" t="s">
        <v>19</v>
      </c>
      <c r="F211" s="154" t="s">
        <v>1065</v>
      </c>
      <c r="H211" s="155">
        <v>73</v>
      </c>
      <c r="I211" s="156"/>
      <c r="L211" s="152"/>
      <c r="M211" s="157"/>
      <c r="T211" s="158"/>
      <c r="AT211" s="153" t="s">
        <v>249</v>
      </c>
      <c r="AU211" s="153" t="s">
        <v>86</v>
      </c>
      <c r="AV211" s="12" t="s">
        <v>86</v>
      </c>
      <c r="AW211" s="12" t="s">
        <v>37</v>
      </c>
      <c r="AX211" s="12" t="s">
        <v>76</v>
      </c>
      <c r="AY211" s="153" t="s">
        <v>144</v>
      </c>
    </row>
    <row r="212" spans="2:51" s="13" customFormat="1" ht="12">
      <c r="B212" s="159"/>
      <c r="D212" s="145" t="s">
        <v>249</v>
      </c>
      <c r="E212" s="160" t="s">
        <v>19</v>
      </c>
      <c r="F212" s="161" t="s">
        <v>251</v>
      </c>
      <c r="H212" s="162">
        <v>73</v>
      </c>
      <c r="I212" s="163"/>
      <c r="L212" s="159"/>
      <c r="M212" s="164"/>
      <c r="T212" s="165"/>
      <c r="AT212" s="160" t="s">
        <v>249</v>
      </c>
      <c r="AU212" s="160" t="s">
        <v>86</v>
      </c>
      <c r="AV212" s="13" t="s">
        <v>166</v>
      </c>
      <c r="AW212" s="13" t="s">
        <v>37</v>
      </c>
      <c r="AX212" s="13" t="s">
        <v>84</v>
      </c>
      <c r="AY212" s="160" t="s">
        <v>144</v>
      </c>
    </row>
    <row r="213" spans="2:65" s="1" customFormat="1" ht="74.55" customHeight="1">
      <c r="B213" s="33"/>
      <c r="C213" s="128" t="s">
        <v>422</v>
      </c>
      <c r="D213" s="128" t="s">
        <v>147</v>
      </c>
      <c r="E213" s="129" t="s">
        <v>1066</v>
      </c>
      <c r="F213" s="130" t="s">
        <v>1067</v>
      </c>
      <c r="G213" s="131" t="s">
        <v>246</v>
      </c>
      <c r="H213" s="132">
        <v>1064</v>
      </c>
      <c r="I213" s="133"/>
      <c r="J213" s="134">
        <f>ROUND(I213*H213,2)</f>
        <v>0</v>
      </c>
      <c r="K213" s="130" t="s">
        <v>441</v>
      </c>
      <c r="L213" s="33"/>
      <c r="M213" s="135" t="s">
        <v>19</v>
      </c>
      <c r="N213" s="136" t="s">
        <v>47</v>
      </c>
      <c r="P213" s="137">
        <f>O213*H213</f>
        <v>0</v>
      </c>
      <c r="Q213" s="137">
        <v>0.08922</v>
      </c>
      <c r="R213" s="137">
        <f>Q213*H213</f>
        <v>94.93007999999999</v>
      </c>
      <c r="S213" s="137">
        <v>0</v>
      </c>
      <c r="T213" s="138">
        <f>S213*H213</f>
        <v>0</v>
      </c>
      <c r="AR213" s="139" t="s">
        <v>166</v>
      </c>
      <c r="AT213" s="139" t="s">
        <v>147</v>
      </c>
      <c r="AU213" s="139" t="s">
        <v>86</v>
      </c>
      <c r="AY213" s="18" t="s">
        <v>144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8" t="s">
        <v>84</v>
      </c>
      <c r="BK213" s="140">
        <f>ROUND(I213*H213,2)</f>
        <v>0</v>
      </c>
      <c r="BL213" s="18" t="s">
        <v>166</v>
      </c>
      <c r="BM213" s="139" t="s">
        <v>1068</v>
      </c>
    </row>
    <row r="214" spans="2:47" s="1" customFormat="1" ht="12">
      <c r="B214" s="33"/>
      <c r="D214" s="141" t="s">
        <v>154</v>
      </c>
      <c r="F214" s="142" t="s">
        <v>1069</v>
      </c>
      <c r="I214" s="143"/>
      <c r="L214" s="33"/>
      <c r="M214" s="144"/>
      <c r="T214" s="54"/>
      <c r="AT214" s="18" t="s">
        <v>154</v>
      </c>
      <c r="AU214" s="18" t="s">
        <v>86</v>
      </c>
    </row>
    <row r="215" spans="2:51" s="14" customFormat="1" ht="12">
      <c r="B215" s="166"/>
      <c r="D215" s="145" t="s">
        <v>249</v>
      </c>
      <c r="E215" s="167" t="s">
        <v>19</v>
      </c>
      <c r="F215" s="168" t="s">
        <v>1070</v>
      </c>
      <c r="H215" s="167" t="s">
        <v>19</v>
      </c>
      <c r="I215" s="169"/>
      <c r="L215" s="166"/>
      <c r="M215" s="170"/>
      <c r="T215" s="171"/>
      <c r="AT215" s="167" t="s">
        <v>249</v>
      </c>
      <c r="AU215" s="167" t="s">
        <v>86</v>
      </c>
      <c r="AV215" s="14" t="s">
        <v>84</v>
      </c>
      <c r="AW215" s="14" t="s">
        <v>37</v>
      </c>
      <c r="AX215" s="14" t="s">
        <v>76</v>
      </c>
      <c r="AY215" s="167" t="s">
        <v>144</v>
      </c>
    </row>
    <row r="216" spans="2:51" s="12" customFormat="1" ht="12">
      <c r="B216" s="152"/>
      <c r="D216" s="145" t="s">
        <v>249</v>
      </c>
      <c r="E216" s="153" t="s">
        <v>19</v>
      </c>
      <c r="F216" s="154" t="s">
        <v>1071</v>
      </c>
      <c r="H216" s="155">
        <v>1007</v>
      </c>
      <c r="I216" s="156"/>
      <c r="L216" s="152"/>
      <c r="M216" s="157"/>
      <c r="T216" s="158"/>
      <c r="AT216" s="153" t="s">
        <v>249</v>
      </c>
      <c r="AU216" s="153" t="s">
        <v>86</v>
      </c>
      <c r="AV216" s="12" t="s">
        <v>86</v>
      </c>
      <c r="AW216" s="12" t="s">
        <v>37</v>
      </c>
      <c r="AX216" s="12" t="s">
        <v>76</v>
      </c>
      <c r="AY216" s="153" t="s">
        <v>144</v>
      </c>
    </row>
    <row r="217" spans="2:51" s="12" customFormat="1" ht="12">
      <c r="B217" s="152"/>
      <c r="D217" s="145" t="s">
        <v>249</v>
      </c>
      <c r="E217" s="153" t="s">
        <v>19</v>
      </c>
      <c r="F217" s="154" t="s">
        <v>1072</v>
      </c>
      <c r="H217" s="155">
        <v>22</v>
      </c>
      <c r="I217" s="156"/>
      <c r="L217" s="152"/>
      <c r="M217" s="157"/>
      <c r="T217" s="158"/>
      <c r="AT217" s="153" t="s">
        <v>249</v>
      </c>
      <c r="AU217" s="153" t="s">
        <v>86</v>
      </c>
      <c r="AV217" s="12" t="s">
        <v>86</v>
      </c>
      <c r="AW217" s="12" t="s">
        <v>37</v>
      </c>
      <c r="AX217" s="12" t="s">
        <v>76</v>
      </c>
      <c r="AY217" s="153" t="s">
        <v>144</v>
      </c>
    </row>
    <row r="218" spans="2:51" s="14" customFormat="1" ht="12">
      <c r="B218" s="166"/>
      <c r="D218" s="145" t="s">
        <v>249</v>
      </c>
      <c r="E218" s="167" t="s">
        <v>19</v>
      </c>
      <c r="F218" s="168" t="s">
        <v>1073</v>
      </c>
      <c r="H218" s="167" t="s">
        <v>19</v>
      </c>
      <c r="I218" s="169"/>
      <c r="L218" s="166"/>
      <c r="M218" s="170"/>
      <c r="T218" s="171"/>
      <c r="AT218" s="167" t="s">
        <v>249</v>
      </c>
      <c r="AU218" s="167" t="s">
        <v>86</v>
      </c>
      <c r="AV218" s="14" t="s">
        <v>84</v>
      </c>
      <c r="AW218" s="14" t="s">
        <v>37</v>
      </c>
      <c r="AX218" s="14" t="s">
        <v>76</v>
      </c>
      <c r="AY218" s="167" t="s">
        <v>144</v>
      </c>
    </row>
    <row r="219" spans="2:51" s="12" customFormat="1" ht="12">
      <c r="B219" s="152"/>
      <c r="D219" s="145" t="s">
        <v>249</v>
      </c>
      <c r="E219" s="153" t="s">
        <v>19</v>
      </c>
      <c r="F219" s="154" t="s">
        <v>1074</v>
      </c>
      <c r="H219" s="155">
        <v>35</v>
      </c>
      <c r="I219" s="156"/>
      <c r="L219" s="152"/>
      <c r="M219" s="157"/>
      <c r="T219" s="158"/>
      <c r="AT219" s="153" t="s">
        <v>249</v>
      </c>
      <c r="AU219" s="153" t="s">
        <v>86</v>
      </c>
      <c r="AV219" s="12" t="s">
        <v>86</v>
      </c>
      <c r="AW219" s="12" t="s">
        <v>37</v>
      </c>
      <c r="AX219" s="12" t="s">
        <v>76</v>
      </c>
      <c r="AY219" s="153" t="s">
        <v>144</v>
      </c>
    </row>
    <row r="220" spans="2:51" s="13" customFormat="1" ht="12">
      <c r="B220" s="159"/>
      <c r="D220" s="145" t="s">
        <v>249</v>
      </c>
      <c r="E220" s="160" t="s">
        <v>19</v>
      </c>
      <c r="F220" s="161" t="s">
        <v>251</v>
      </c>
      <c r="H220" s="162">
        <v>1064</v>
      </c>
      <c r="I220" s="163"/>
      <c r="L220" s="159"/>
      <c r="M220" s="164"/>
      <c r="T220" s="165"/>
      <c r="AT220" s="160" t="s">
        <v>249</v>
      </c>
      <c r="AU220" s="160" t="s">
        <v>86</v>
      </c>
      <c r="AV220" s="13" t="s">
        <v>166</v>
      </c>
      <c r="AW220" s="13" t="s">
        <v>37</v>
      </c>
      <c r="AX220" s="13" t="s">
        <v>84</v>
      </c>
      <c r="AY220" s="160" t="s">
        <v>144</v>
      </c>
    </row>
    <row r="221" spans="2:65" s="1" customFormat="1" ht="23.7" customHeight="1">
      <c r="B221" s="33"/>
      <c r="C221" s="172" t="s">
        <v>429</v>
      </c>
      <c r="D221" s="172" t="s">
        <v>410</v>
      </c>
      <c r="E221" s="173" t="s">
        <v>1075</v>
      </c>
      <c r="F221" s="174" t="s">
        <v>1076</v>
      </c>
      <c r="G221" s="175" t="s">
        <v>246</v>
      </c>
      <c r="H221" s="176">
        <v>22.44</v>
      </c>
      <c r="I221" s="177"/>
      <c r="J221" s="178">
        <f>ROUND(I221*H221,2)</f>
        <v>0</v>
      </c>
      <c r="K221" s="174" t="s">
        <v>441</v>
      </c>
      <c r="L221" s="179"/>
      <c r="M221" s="180" t="s">
        <v>19</v>
      </c>
      <c r="N221" s="181" t="s">
        <v>47</v>
      </c>
      <c r="P221" s="137">
        <f>O221*H221</f>
        <v>0</v>
      </c>
      <c r="Q221" s="137">
        <v>0.131</v>
      </c>
      <c r="R221" s="137">
        <f>Q221*H221</f>
        <v>2.9396400000000003</v>
      </c>
      <c r="S221" s="137">
        <v>0</v>
      </c>
      <c r="T221" s="138">
        <f>S221*H221</f>
        <v>0</v>
      </c>
      <c r="AR221" s="139" t="s">
        <v>189</v>
      </c>
      <c r="AT221" s="139" t="s">
        <v>410</v>
      </c>
      <c r="AU221" s="139" t="s">
        <v>86</v>
      </c>
      <c r="AY221" s="18" t="s">
        <v>144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8" t="s">
        <v>84</v>
      </c>
      <c r="BK221" s="140">
        <f>ROUND(I221*H221,2)</f>
        <v>0</v>
      </c>
      <c r="BL221" s="18" t="s">
        <v>166</v>
      </c>
      <c r="BM221" s="139" t="s">
        <v>1077</v>
      </c>
    </row>
    <row r="222" spans="2:51" s="12" customFormat="1" ht="12">
      <c r="B222" s="152"/>
      <c r="D222" s="145" t="s">
        <v>249</v>
      </c>
      <c r="E222" s="153" t="s">
        <v>19</v>
      </c>
      <c r="F222" s="154" t="s">
        <v>1078</v>
      </c>
      <c r="H222" s="155">
        <v>22</v>
      </c>
      <c r="I222" s="156"/>
      <c r="L222" s="152"/>
      <c r="M222" s="157"/>
      <c r="T222" s="158"/>
      <c r="AT222" s="153" t="s">
        <v>249</v>
      </c>
      <c r="AU222" s="153" t="s">
        <v>86</v>
      </c>
      <c r="AV222" s="12" t="s">
        <v>86</v>
      </c>
      <c r="AW222" s="12" t="s">
        <v>37</v>
      </c>
      <c r="AX222" s="12" t="s">
        <v>76</v>
      </c>
      <c r="AY222" s="153" t="s">
        <v>144</v>
      </c>
    </row>
    <row r="223" spans="2:51" s="13" customFormat="1" ht="12">
      <c r="B223" s="159"/>
      <c r="D223" s="145" t="s">
        <v>249</v>
      </c>
      <c r="E223" s="160" t="s">
        <v>19</v>
      </c>
      <c r="F223" s="161" t="s">
        <v>251</v>
      </c>
      <c r="H223" s="162">
        <v>22</v>
      </c>
      <c r="I223" s="163"/>
      <c r="L223" s="159"/>
      <c r="M223" s="164"/>
      <c r="T223" s="165"/>
      <c r="AT223" s="160" t="s">
        <v>249</v>
      </c>
      <c r="AU223" s="160" t="s">
        <v>86</v>
      </c>
      <c r="AV223" s="13" t="s">
        <v>166</v>
      </c>
      <c r="AW223" s="13" t="s">
        <v>37</v>
      </c>
      <c r="AX223" s="13" t="s">
        <v>84</v>
      </c>
      <c r="AY223" s="160" t="s">
        <v>144</v>
      </c>
    </row>
    <row r="224" spans="2:51" s="12" customFormat="1" ht="12">
      <c r="B224" s="152"/>
      <c r="D224" s="145" t="s">
        <v>249</v>
      </c>
      <c r="F224" s="154" t="s">
        <v>1079</v>
      </c>
      <c r="H224" s="155">
        <v>22.44</v>
      </c>
      <c r="I224" s="156"/>
      <c r="L224" s="152"/>
      <c r="M224" s="157"/>
      <c r="T224" s="158"/>
      <c r="AT224" s="153" t="s">
        <v>249</v>
      </c>
      <c r="AU224" s="153" t="s">
        <v>86</v>
      </c>
      <c r="AV224" s="12" t="s">
        <v>86</v>
      </c>
      <c r="AW224" s="12" t="s">
        <v>4</v>
      </c>
      <c r="AX224" s="12" t="s">
        <v>84</v>
      </c>
      <c r="AY224" s="153" t="s">
        <v>144</v>
      </c>
    </row>
    <row r="225" spans="2:65" s="1" customFormat="1" ht="21.3" customHeight="1">
      <c r="B225" s="33"/>
      <c r="C225" s="172" t="s">
        <v>438</v>
      </c>
      <c r="D225" s="172" t="s">
        <v>410</v>
      </c>
      <c r="E225" s="173" t="s">
        <v>1080</v>
      </c>
      <c r="F225" s="174" t="s">
        <v>1081</v>
      </c>
      <c r="G225" s="175" t="s">
        <v>246</v>
      </c>
      <c r="H225" s="176">
        <v>1062.84</v>
      </c>
      <c r="I225" s="177"/>
      <c r="J225" s="178">
        <f>ROUND(I225*H225,2)</f>
        <v>0</v>
      </c>
      <c r="K225" s="174" t="s">
        <v>151</v>
      </c>
      <c r="L225" s="179"/>
      <c r="M225" s="180" t="s">
        <v>19</v>
      </c>
      <c r="N225" s="181" t="s">
        <v>47</v>
      </c>
      <c r="P225" s="137">
        <f>O225*H225</f>
        <v>0</v>
      </c>
      <c r="Q225" s="137">
        <v>0.131</v>
      </c>
      <c r="R225" s="137">
        <f>Q225*H225</f>
        <v>139.23203999999998</v>
      </c>
      <c r="S225" s="137">
        <v>0</v>
      </c>
      <c r="T225" s="138">
        <f>S225*H225</f>
        <v>0</v>
      </c>
      <c r="AR225" s="139" t="s">
        <v>189</v>
      </c>
      <c r="AT225" s="139" t="s">
        <v>410</v>
      </c>
      <c r="AU225" s="139" t="s">
        <v>86</v>
      </c>
      <c r="AY225" s="18" t="s">
        <v>144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84</v>
      </c>
      <c r="BK225" s="140">
        <f>ROUND(I225*H225,2)</f>
        <v>0</v>
      </c>
      <c r="BL225" s="18" t="s">
        <v>166</v>
      </c>
      <c r="BM225" s="139" t="s">
        <v>1082</v>
      </c>
    </row>
    <row r="226" spans="2:51" s="12" customFormat="1" ht="12">
      <c r="B226" s="152"/>
      <c r="D226" s="145" t="s">
        <v>249</v>
      </c>
      <c r="E226" s="153" t="s">
        <v>19</v>
      </c>
      <c r="F226" s="154" t="s">
        <v>1083</v>
      </c>
      <c r="H226" s="155">
        <v>1007</v>
      </c>
      <c r="I226" s="156"/>
      <c r="L226" s="152"/>
      <c r="M226" s="157"/>
      <c r="T226" s="158"/>
      <c r="AT226" s="153" t="s">
        <v>249</v>
      </c>
      <c r="AU226" s="153" t="s">
        <v>86</v>
      </c>
      <c r="AV226" s="12" t="s">
        <v>86</v>
      </c>
      <c r="AW226" s="12" t="s">
        <v>37</v>
      </c>
      <c r="AX226" s="12" t="s">
        <v>76</v>
      </c>
      <c r="AY226" s="153" t="s">
        <v>144</v>
      </c>
    </row>
    <row r="227" spans="2:51" s="12" customFormat="1" ht="12">
      <c r="B227" s="152"/>
      <c r="D227" s="145" t="s">
        <v>249</v>
      </c>
      <c r="E227" s="153" t="s">
        <v>19</v>
      </c>
      <c r="F227" s="154" t="s">
        <v>1060</v>
      </c>
      <c r="H227" s="155">
        <v>35</v>
      </c>
      <c r="I227" s="156"/>
      <c r="L227" s="152"/>
      <c r="M227" s="157"/>
      <c r="T227" s="158"/>
      <c r="AT227" s="153" t="s">
        <v>249</v>
      </c>
      <c r="AU227" s="153" t="s">
        <v>86</v>
      </c>
      <c r="AV227" s="12" t="s">
        <v>86</v>
      </c>
      <c r="AW227" s="12" t="s">
        <v>37</v>
      </c>
      <c r="AX227" s="12" t="s">
        <v>76</v>
      </c>
      <c r="AY227" s="153" t="s">
        <v>144</v>
      </c>
    </row>
    <row r="228" spans="2:51" s="13" customFormat="1" ht="12">
      <c r="B228" s="159"/>
      <c r="D228" s="145" t="s">
        <v>249</v>
      </c>
      <c r="E228" s="160" t="s">
        <v>19</v>
      </c>
      <c r="F228" s="161" t="s">
        <v>251</v>
      </c>
      <c r="H228" s="162">
        <v>1042</v>
      </c>
      <c r="I228" s="163"/>
      <c r="L228" s="159"/>
      <c r="M228" s="164"/>
      <c r="T228" s="165"/>
      <c r="AT228" s="160" t="s">
        <v>249</v>
      </c>
      <c r="AU228" s="160" t="s">
        <v>86</v>
      </c>
      <c r="AV228" s="13" t="s">
        <v>166</v>
      </c>
      <c r="AW228" s="13" t="s">
        <v>37</v>
      </c>
      <c r="AX228" s="13" t="s">
        <v>84</v>
      </c>
      <c r="AY228" s="160" t="s">
        <v>144</v>
      </c>
    </row>
    <row r="229" spans="2:51" s="12" customFormat="1" ht="12">
      <c r="B229" s="152"/>
      <c r="D229" s="145" t="s">
        <v>249</v>
      </c>
      <c r="F229" s="154" t="s">
        <v>1084</v>
      </c>
      <c r="H229" s="155">
        <v>1062.84</v>
      </c>
      <c r="I229" s="156"/>
      <c r="L229" s="152"/>
      <c r="M229" s="157"/>
      <c r="T229" s="158"/>
      <c r="AT229" s="153" t="s">
        <v>249</v>
      </c>
      <c r="AU229" s="153" t="s">
        <v>86</v>
      </c>
      <c r="AV229" s="12" t="s">
        <v>86</v>
      </c>
      <c r="AW229" s="12" t="s">
        <v>4</v>
      </c>
      <c r="AX229" s="12" t="s">
        <v>84</v>
      </c>
      <c r="AY229" s="153" t="s">
        <v>144</v>
      </c>
    </row>
    <row r="230" spans="2:65" s="1" customFormat="1" ht="74.55" customHeight="1">
      <c r="B230" s="33"/>
      <c r="C230" s="128" t="s">
        <v>447</v>
      </c>
      <c r="D230" s="128" t="s">
        <v>147</v>
      </c>
      <c r="E230" s="129" t="s">
        <v>583</v>
      </c>
      <c r="F230" s="130" t="s">
        <v>584</v>
      </c>
      <c r="G230" s="131" t="s">
        <v>246</v>
      </c>
      <c r="H230" s="132">
        <v>52.6</v>
      </c>
      <c r="I230" s="133"/>
      <c r="J230" s="134">
        <f>ROUND(I230*H230,2)</f>
        <v>0</v>
      </c>
      <c r="K230" s="130" t="s">
        <v>151</v>
      </c>
      <c r="L230" s="33"/>
      <c r="M230" s="135" t="s">
        <v>19</v>
      </c>
      <c r="N230" s="136" t="s">
        <v>47</v>
      </c>
      <c r="P230" s="137">
        <f>O230*H230</f>
        <v>0</v>
      </c>
      <c r="Q230" s="137">
        <v>0.09062</v>
      </c>
      <c r="R230" s="137">
        <f>Q230*H230</f>
        <v>4.766612</v>
      </c>
      <c r="S230" s="137">
        <v>0</v>
      </c>
      <c r="T230" s="138">
        <f>S230*H230</f>
        <v>0</v>
      </c>
      <c r="AR230" s="139" t="s">
        <v>166</v>
      </c>
      <c r="AT230" s="139" t="s">
        <v>147</v>
      </c>
      <c r="AU230" s="139" t="s">
        <v>86</v>
      </c>
      <c r="AY230" s="18" t="s">
        <v>144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84</v>
      </c>
      <c r="BK230" s="140">
        <f>ROUND(I230*H230,2)</f>
        <v>0</v>
      </c>
      <c r="BL230" s="18" t="s">
        <v>166</v>
      </c>
      <c r="BM230" s="139" t="s">
        <v>1085</v>
      </c>
    </row>
    <row r="231" spans="2:47" s="1" customFormat="1" ht="12">
      <c r="B231" s="33"/>
      <c r="D231" s="141" t="s">
        <v>154</v>
      </c>
      <c r="F231" s="142" t="s">
        <v>586</v>
      </c>
      <c r="I231" s="143"/>
      <c r="L231" s="33"/>
      <c r="M231" s="144"/>
      <c r="T231" s="54"/>
      <c r="AT231" s="18" t="s">
        <v>154</v>
      </c>
      <c r="AU231" s="18" t="s">
        <v>86</v>
      </c>
    </row>
    <row r="232" spans="2:51" s="14" customFormat="1" ht="12">
      <c r="B232" s="166"/>
      <c r="D232" s="145" t="s">
        <v>249</v>
      </c>
      <c r="E232" s="167" t="s">
        <v>19</v>
      </c>
      <c r="F232" s="168" t="s">
        <v>1086</v>
      </c>
      <c r="H232" s="167" t="s">
        <v>19</v>
      </c>
      <c r="I232" s="169"/>
      <c r="L232" s="166"/>
      <c r="M232" s="170"/>
      <c r="T232" s="171"/>
      <c r="AT232" s="167" t="s">
        <v>249</v>
      </c>
      <c r="AU232" s="167" t="s">
        <v>86</v>
      </c>
      <c r="AV232" s="14" t="s">
        <v>84</v>
      </c>
      <c r="AW232" s="14" t="s">
        <v>37</v>
      </c>
      <c r="AX232" s="14" t="s">
        <v>76</v>
      </c>
      <c r="AY232" s="167" t="s">
        <v>144</v>
      </c>
    </row>
    <row r="233" spans="2:51" s="12" customFormat="1" ht="12">
      <c r="B233" s="152"/>
      <c r="D233" s="145" t="s">
        <v>249</v>
      </c>
      <c r="E233" s="153" t="s">
        <v>19</v>
      </c>
      <c r="F233" s="154" t="s">
        <v>1087</v>
      </c>
      <c r="H233" s="155">
        <v>24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76</v>
      </c>
      <c r="AY233" s="153" t="s">
        <v>144</v>
      </c>
    </row>
    <row r="234" spans="2:51" s="12" customFormat="1" ht="12">
      <c r="B234" s="152"/>
      <c r="D234" s="145" t="s">
        <v>249</v>
      </c>
      <c r="E234" s="153" t="s">
        <v>19</v>
      </c>
      <c r="F234" s="154" t="s">
        <v>1088</v>
      </c>
      <c r="H234" s="155">
        <v>15</v>
      </c>
      <c r="I234" s="156"/>
      <c r="L234" s="152"/>
      <c r="M234" s="157"/>
      <c r="T234" s="158"/>
      <c r="AT234" s="153" t="s">
        <v>249</v>
      </c>
      <c r="AU234" s="153" t="s">
        <v>86</v>
      </c>
      <c r="AV234" s="12" t="s">
        <v>86</v>
      </c>
      <c r="AW234" s="12" t="s">
        <v>37</v>
      </c>
      <c r="AX234" s="12" t="s">
        <v>76</v>
      </c>
      <c r="AY234" s="153" t="s">
        <v>144</v>
      </c>
    </row>
    <row r="235" spans="2:51" s="12" customFormat="1" ht="20.4">
      <c r="B235" s="152"/>
      <c r="D235" s="145" t="s">
        <v>249</v>
      </c>
      <c r="E235" s="153" t="s">
        <v>19</v>
      </c>
      <c r="F235" s="154" t="s">
        <v>1089</v>
      </c>
      <c r="H235" s="155">
        <v>13.6</v>
      </c>
      <c r="I235" s="156"/>
      <c r="L235" s="152"/>
      <c r="M235" s="157"/>
      <c r="T235" s="158"/>
      <c r="AT235" s="153" t="s">
        <v>249</v>
      </c>
      <c r="AU235" s="153" t="s">
        <v>86</v>
      </c>
      <c r="AV235" s="12" t="s">
        <v>86</v>
      </c>
      <c r="AW235" s="12" t="s">
        <v>37</v>
      </c>
      <c r="AX235" s="12" t="s">
        <v>76</v>
      </c>
      <c r="AY235" s="153" t="s">
        <v>144</v>
      </c>
    </row>
    <row r="236" spans="2:51" s="13" customFormat="1" ht="12">
      <c r="B236" s="159"/>
      <c r="D236" s="145" t="s">
        <v>249</v>
      </c>
      <c r="E236" s="160" t="s">
        <v>19</v>
      </c>
      <c r="F236" s="161" t="s">
        <v>251</v>
      </c>
      <c r="H236" s="162">
        <v>52.6</v>
      </c>
      <c r="I236" s="163"/>
      <c r="L236" s="159"/>
      <c r="M236" s="164"/>
      <c r="T236" s="165"/>
      <c r="AT236" s="160" t="s">
        <v>249</v>
      </c>
      <c r="AU236" s="160" t="s">
        <v>86</v>
      </c>
      <c r="AV236" s="13" t="s">
        <v>166</v>
      </c>
      <c r="AW236" s="13" t="s">
        <v>37</v>
      </c>
      <c r="AX236" s="13" t="s">
        <v>84</v>
      </c>
      <c r="AY236" s="160" t="s">
        <v>144</v>
      </c>
    </row>
    <row r="237" spans="2:65" s="1" customFormat="1" ht="23.7" customHeight="1">
      <c r="B237" s="33"/>
      <c r="C237" s="172" t="s">
        <v>451</v>
      </c>
      <c r="D237" s="172" t="s">
        <v>410</v>
      </c>
      <c r="E237" s="173" t="s">
        <v>1090</v>
      </c>
      <c r="F237" s="174" t="s">
        <v>1091</v>
      </c>
      <c r="G237" s="175" t="s">
        <v>246</v>
      </c>
      <c r="H237" s="176">
        <v>13.872</v>
      </c>
      <c r="I237" s="177"/>
      <c r="J237" s="178">
        <f>ROUND(I237*H237,2)</f>
        <v>0</v>
      </c>
      <c r="K237" s="174" t="s">
        <v>19</v>
      </c>
      <c r="L237" s="179"/>
      <c r="M237" s="180" t="s">
        <v>19</v>
      </c>
      <c r="N237" s="181" t="s">
        <v>47</v>
      </c>
      <c r="P237" s="137">
        <f>O237*H237</f>
        <v>0</v>
      </c>
      <c r="Q237" s="137">
        <v>0.176</v>
      </c>
      <c r="R237" s="137">
        <f>Q237*H237</f>
        <v>2.4414719999999996</v>
      </c>
      <c r="S237" s="137">
        <v>0</v>
      </c>
      <c r="T237" s="138">
        <f>S237*H237</f>
        <v>0</v>
      </c>
      <c r="AR237" s="139" t="s">
        <v>189</v>
      </c>
      <c r="AT237" s="139" t="s">
        <v>410</v>
      </c>
      <c r="AU237" s="139" t="s">
        <v>86</v>
      </c>
      <c r="AY237" s="18" t="s">
        <v>144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8" t="s">
        <v>84</v>
      </c>
      <c r="BK237" s="140">
        <f>ROUND(I237*H237,2)</f>
        <v>0</v>
      </c>
      <c r="BL237" s="18" t="s">
        <v>166</v>
      </c>
      <c r="BM237" s="139" t="s">
        <v>1092</v>
      </c>
    </row>
    <row r="238" spans="2:51" s="12" customFormat="1" ht="12">
      <c r="B238" s="152"/>
      <c r="D238" s="145" t="s">
        <v>249</v>
      </c>
      <c r="F238" s="154" t="s">
        <v>1093</v>
      </c>
      <c r="H238" s="155">
        <v>13.872</v>
      </c>
      <c r="I238" s="156"/>
      <c r="L238" s="152"/>
      <c r="M238" s="157"/>
      <c r="T238" s="158"/>
      <c r="AT238" s="153" t="s">
        <v>249</v>
      </c>
      <c r="AU238" s="153" t="s">
        <v>86</v>
      </c>
      <c r="AV238" s="12" t="s">
        <v>86</v>
      </c>
      <c r="AW238" s="12" t="s">
        <v>4</v>
      </c>
      <c r="AX238" s="12" t="s">
        <v>84</v>
      </c>
      <c r="AY238" s="153" t="s">
        <v>144</v>
      </c>
    </row>
    <row r="239" spans="2:65" s="1" customFormat="1" ht="21.3" customHeight="1">
      <c r="B239" s="33"/>
      <c r="C239" s="172" t="s">
        <v>457</v>
      </c>
      <c r="D239" s="172" t="s">
        <v>410</v>
      </c>
      <c r="E239" s="173" t="s">
        <v>591</v>
      </c>
      <c r="F239" s="174" t="s">
        <v>592</v>
      </c>
      <c r="G239" s="175" t="s">
        <v>246</v>
      </c>
      <c r="H239" s="176">
        <v>24.48</v>
      </c>
      <c r="I239" s="177"/>
      <c r="J239" s="178">
        <f>ROUND(I239*H239,2)</f>
        <v>0</v>
      </c>
      <c r="K239" s="174" t="s">
        <v>151</v>
      </c>
      <c r="L239" s="179"/>
      <c r="M239" s="180" t="s">
        <v>19</v>
      </c>
      <c r="N239" s="181" t="s">
        <v>47</v>
      </c>
      <c r="P239" s="137">
        <f>O239*H239</f>
        <v>0</v>
      </c>
      <c r="Q239" s="137">
        <v>0.176</v>
      </c>
      <c r="R239" s="137">
        <f>Q239*H239</f>
        <v>4.308479999999999</v>
      </c>
      <c r="S239" s="137">
        <v>0</v>
      </c>
      <c r="T239" s="138">
        <f>S239*H239</f>
        <v>0</v>
      </c>
      <c r="AR239" s="139" t="s">
        <v>189</v>
      </c>
      <c r="AT239" s="139" t="s">
        <v>410</v>
      </c>
      <c r="AU239" s="139" t="s">
        <v>86</v>
      </c>
      <c r="AY239" s="18" t="s">
        <v>144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8" t="s">
        <v>84</v>
      </c>
      <c r="BK239" s="140">
        <f>ROUND(I239*H239,2)</f>
        <v>0</v>
      </c>
      <c r="BL239" s="18" t="s">
        <v>166</v>
      </c>
      <c r="BM239" s="139" t="s">
        <v>1094</v>
      </c>
    </row>
    <row r="240" spans="2:51" s="12" customFormat="1" ht="12">
      <c r="B240" s="152"/>
      <c r="D240" s="145" t="s">
        <v>249</v>
      </c>
      <c r="F240" s="154" t="s">
        <v>1095</v>
      </c>
      <c r="H240" s="155">
        <v>24.48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4</v>
      </c>
      <c r="AX240" s="12" t="s">
        <v>84</v>
      </c>
      <c r="AY240" s="153" t="s">
        <v>144</v>
      </c>
    </row>
    <row r="241" spans="2:65" s="1" customFormat="1" ht="23.7" customHeight="1">
      <c r="B241" s="33"/>
      <c r="C241" s="172" t="s">
        <v>464</v>
      </c>
      <c r="D241" s="172" t="s">
        <v>410</v>
      </c>
      <c r="E241" s="173" t="s">
        <v>1096</v>
      </c>
      <c r="F241" s="174" t="s">
        <v>1097</v>
      </c>
      <c r="G241" s="175" t="s">
        <v>246</v>
      </c>
      <c r="H241" s="176">
        <v>15.3</v>
      </c>
      <c r="I241" s="177"/>
      <c r="J241" s="178">
        <f>ROUND(I241*H241,2)</f>
        <v>0</v>
      </c>
      <c r="K241" s="174" t="s">
        <v>151</v>
      </c>
      <c r="L241" s="179"/>
      <c r="M241" s="180" t="s">
        <v>19</v>
      </c>
      <c r="N241" s="181" t="s">
        <v>47</v>
      </c>
      <c r="P241" s="137">
        <f>O241*H241</f>
        <v>0</v>
      </c>
      <c r="Q241" s="137">
        <v>0.175</v>
      </c>
      <c r="R241" s="137">
        <f>Q241*H241</f>
        <v>2.6774999999999998</v>
      </c>
      <c r="S241" s="137">
        <v>0</v>
      </c>
      <c r="T241" s="138">
        <f>S241*H241</f>
        <v>0</v>
      </c>
      <c r="AR241" s="139" t="s">
        <v>189</v>
      </c>
      <c r="AT241" s="139" t="s">
        <v>410</v>
      </c>
      <c r="AU241" s="139" t="s">
        <v>86</v>
      </c>
      <c r="AY241" s="18" t="s">
        <v>144</v>
      </c>
      <c r="BE241" s="140">
        <f>IF(N241="základní",J241,0)</f>
        <v>0</v>
      </c>
      <c r="BF241" s="140">
        <f>IF(N241="snížená",J241,0)</f>
        <v>0</v>
      </c>
      <c r="BG241" s="140">
        <f>IF(N241="zákl. přenesená",J241,0)</f>
        <v>0</v>
      </c>
      <c r="BH241" s="140">
        <f>IF(N241="sníž. přenesená",J241,0)</f>
        <v>0</v>
      </c>
      <c r="BI241" s="140">
        <f>IF(N241="nulová",J241,0)</f>
        <v>0</v>
      </c>
      <c r="BJ241" s="18" t="s">
        <v>84</v>
      </c>
      <c r="BK241" s="140">
        <f>ROUND(I241*H241,2)</f>
        <v>0</v>
      </c>
      <c r="BL241" s="18" t="s">
        <v>166</v>
      </c>
      <c r="BM241" s="139" t="s">
        <v>1098</v>
      </c>
    </row>
    <row r="242" spans="2:51" s="12" customFormat="1" ht="12">
      <c r="B242" s="152"/>
      <c r="D242" s="145" t="s">
        <v>249</v>
      </c>
      <c r="F242" s="154" t="s">
        <v>1099</v>
      </c>
      <c r="H242" s="155">
        <v>15.3</v>
      </c>
      <c r="I242" s="156"/>
      <c r="L242" s="152"/>
      <c r="M242" s="157"/>
      <c r="T242" s="158"/>
      <c r="AT242" s="153" t="s">
        <v>249</v>
      </c>
      <c r="AU242" s="153" t="s">
        <v>86</v>
      </c>
      <c r="AV242" s="12" t="s">
        <v>86</v>
      </c>
      <c r="AW242" s="12" t="s">
        <v>4</v>
      </c>
      <c r="AX242" s="12" t="s">
        <v>84</v>
      </c>
      <c r="AY242" s="153" t="s">
        <v>144</v>
      </c>
    </row>
    <row r="243" spans="2:63" s="11" customFormat="1" ht="22.8" customHeight="1">
      <c r="B243" s="116"/>
      <c r="D243" s="117" t="s">
        <v>75</v>
      </c>
      <c r="E243" s="126" t="s">
        <v>195</v>
      </c>
      <c r="F243" s="126" t="s">
        <v>675</v>
      </c>
      <c r="I243" s="119"/>
      <c r="J243" s="127">
        <f>BK243</f>
        <v>0</v>
      </c>
      <c r="L243" s="116"/>
      <c r="M243" s="121"/>
      <c r="P243" s="122">
        <f>SUM(P244:P265)</f>
        <v>0</v>
      </c>
      <c r="R243" s="122">
        <f>SUM(R244:R265)</f>
        <v>143.98002000000002</v>
      </c>
      <c r="T243" s="123">
        <f>SUM(T244:T265)</f>
        <v>0</v>
      </c>
      <c r="AR243" s="117" t="s">
        <v>84</v>
      </c>
      <c r="AT243" s="124" t="s">
        <v>75</v>
      </c>
      <c r="AU243" s="124" t="s">
        <v>84</v>
      </c>
      <c r="AY243" s="117" t="s">
        <v>144</v>
      </c>
      <c r="BK243" s="125">
        <f>SUM(BK244:BK265)</f>
        <v>0</v>
      </c>
    </row>
    <row r="244" spans="2:65" s="1" customFormat="1" ht="23.7" customHeight="1">
      <c r="B244" s="33"/>
      <c r="C244" s="128" t="s">
        <v>470</v>
      </c>
      <c r="D244" s="128" t="s">
        <v>147</v>
      </c>
      <c r="E244" s="129" t="s">
        <v>1100</v>
      </c>
      <c r="F244" s="130" t="s">
        <v>1101</v>
      </c>
      <c r="G244" s="131" t="s">
        <v>308</v>
      </c>
      <c r="H244" s="132">
        <v>165</v>
      </c>
      <c r="I244" s="133"/>
      <c r="J244" s="134">
        <f>ROUND(I244*H244,2)</f>
        <v>0</v>
      </c>
      <c r="K244" s="130" t="s">
        <v>151</v>
      </c>
      <c r="L244" s="33"/>
      <c r="M244" s="135" t="s">
        <v>19</v>
      </c>
      <c r="N244" s="136" t="s">
        <v>47</v>
      </c>
      <c r="P244" s="137">
        <f>O244*H244</f>
        <v>0</v>
      </c>
      <c r="Q244" s="137">
        <v>0.0003</v>
      </c>
      <c r="R244" s="137">
        <f>Q244*H244</f>
        <v>0.049499999999999995</v>
      </c>
      <c r="S244" s="137">
        <v>0</v>
      </c>
      <c r="T244" s="138">
        <f>S244*H244</f>
        <v>0</v>
      </c>
      <c r="AR244" s="139" t="s">
        <v>166</v>
      </c>
      <c r="AT244" s="139" t="s">
        <v>147</v>
      </c>
      <c r="AU244" s="139" t="s">
        <v>86</v>
      </c>
      <c r="AY244" s="18" t="s">
        <v>144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8" t="s">
        <v>84</v>
      </c>
      <c r="BK244" s="140">
        <f>ROUND(I244*H244,2)</f>
        <v>0</v>
      </c>
      <c r="BL244" s="18" t="s">
        <v>166</v>
      </c>
      <c r="BM244" s="139" t="s">
        <v>1102</v>
      </c>
    </row>
    <row r="245" spans="2:47" s="1" customFormat="1" ht="12">
      <c r="B245" s="33"/>
      <c r="D245" s="141" t="s">
        <v>154</v>
      </c>
      <c r="F245" s="142" t="s">
        <v>1103</v>
      </c>
      <c r="I245" s="143"/>
      <c r="L245" s="33"/>
      <c r="M245" s="144"/>
      <c r="T245" s="54"/>
      <c r="AT245" s="18" t="s">
        <v>154</v>
      </c>
      <c r="AU245" s="18" t="s">
        <v>86</v>
      </c>
    </row>
    <row r="246" spans="2:51" s="12" customFormat="1" ht="12">
      <c r="B246" s="152"/>
      <c r="D246" s="145" t="s">
        <v>249</v>
      </c>
      <c r="E246" s="153" t="s">
        <v>19</v>
      </c>
      <c r="F246" s="154" t="s">
        <v>1104</v>
      </c>
      <c r="H246" s="155">
        <v>69</v>
      </c>
      <c r="I246" s="156"/>
      <c r="L246" s="152"/>
      <c r="M246" s="157"/>
      <c r="T246" s="158"/>
      <c r="AT246" s="153" t="s">
        <v>249</v>
      </c>
      <c r="AU246" s="153" t="s">
        <v>86</v>
      </c>
      <c r="AV246" s="12" t="s">
        <v>86</v>
      </c>
      <c r="AW246" s="12" t="s">
        <v>37</v>
      </c>
      <c r="AX246" s="12" t="s">
        <v>76</v>
      </c>
      <c r="AY246" s="153" t="s">
        <v>144</v>
      </c>
    </row>
    <row r="247" spans="2:51" s="12" customFormat="1" ht="12">
      <c r="B247" s="152"/>
      <c r="D247" s="145" t="s">
        <v>249</v>
      </c>
      <c r="E247" s="153" t="s">
        <v>19</v>
      </c>
      <c r="F247" s="154" t="s">
        <v>1105</v>
      </c>
      <c r="H247" s="155">
        <v>38</v>
      </c>
      <c r="I247" s="156"/>
      <c r="L247" s="152"/>
      <c r="M247" s="157"/>
      <c r="T247" s="158"/>
      <c r="AT247" s="153" t="s">
        <v>249</v>
      </c>
      <c r="AU247" s="153" t="s">
        <v>86</v>
      </c>
      <c r="AV247" s="12" t="s">
        <v>86</v>
      </c>
      <c r="AW247" s="12" t="s">
        <v>37</v>
      </c>
      <c r="AX247" s="12" t="s">
        <v>76</v>
      </c>
      <c r="AY247" s="153" t="s">
        <v>144</v>
      </c>
    </row>
    <row r="248" spans="2:51" s="12" customFormat="1" ht="12">
      <c r="B248" s="152"/>
      <c r="D248" s="145" t="s">
        <v>249</v>
      </c>
      <c r="E248" s="153" t="s">
        <v>19</v>
      </c>
      <c r="F248" s="154" t="s">
        <v>1106</v>
      </c>
      <c r="H248" s="155">
        <v>58</v>
      </c>
      <c r="I248" s="156"/>
      <c r="L248" s="152"/>
      <c r="M248" s="157"/>
      <c r="T248" s="158"/>
      <c r="AT248" s="153" t="s">
        <v>249</v>
      </c>
      <c r="AU248" s="153" t="s">
        <v>86</v>
      </c>
      <c r="AV248" s="12" t="s">
        <v>86</v>
      </c>
      <c r="AW248" s="12" t="s">
        <v>37</v>
      </c>
      <c r="AX248" s="12" t="s">
        <v>76</v>
      </c>
      <c r="AY248" s="153" t="s">
        <v>144</v>
      </c>
    </row>
    <row r="249" spans="2:51" s="13" customFormat="1" ht="12">
      <c r="B249" s="159"/>
      <c r="D249" s="145" t="s">
        <v>249</v>
      </c>
      <c r="E249" s="160" t="s">
        <v>19</v>
      </c>
      <c r="F249" s="161" t="s">
        <v>251</v>
      </c>
      <c r="H249" s="162">
        <v>165</v>
      </c>
      <c r="I249" s="163"/>
      <c r="L249" s="159"/>
      <c r="M249" s="164"/>
      <c r="T249" s="165"/>
      <c r="AT249" s="160" t="s">
        <v>249</v>
      </c>
      <c r="AU249" s="160" t="s">
        <v>86</v>
      </c>
      <c r="AV249" s="13" t="s">
        <v>166</v>
      </c>
      <c r="AW249" s="13" t="s">
        <v>37</v>
      </c>
      <c r="AX249" s="13" t="s">
        <v>84</v>
      </c>
      <c r="AY249" s="160" t="s">
        <v>144</v>
      </c>
    </row>
    <row r="250" spans="2:65" s="1" customFormat="1" ht="23.7" customHeight="1">
      <c r="B250" s="33"/>
      <c r="C250" s="172" t="s">
        <v>475</v>
      </c>
      <c r="D250" s="172" t="s">
        <v>410</v>
      </c>
      <c r="E250" s="173" t="s">
        <v>1107</v>
      </c>
      <c r="F250" s="174" t="s">
        <v>1108</v>
      </c>
      <c r="G250" s="175" t="s">
        <v>308</v>
      </c>
      <c r="H250" s="176">
        <v>165</v>
      </c>
      <c r="I250" s="177"/>
      <c r="J250" s="178">
        <f>ROUND(I250*H250,2)</f>
        <v>0</v>
      </c>
      <c r="K250" s="174" t="s">
        <v>19</v>
      </c>
      <c r="L250" s="179"/>
      <c r="M250" s="180" t="s">
        <v>19</v>
      </c>
      <c r="N250" s="181" t="s">
        <v>47</v>
      </c>
      <c r="P250" s="137">
        <f>O250*H250</f>
        <v>0</v>
      </c>
      <c r="Q250" s="137">
        <v>0.0057</v>
      </c>
      <c r="R250" s="137">
        <f>Q250*H250</f>
        <v>0.9405</v>
      </c>
      <c r="S250" s="137">
        <v>0</v>
      </c>
      <c r="T250" s="138">
        <f>S250*H250</f>
        <v>0</v>
      </c>
      <c r="AR250" s="139" t="s">
        <v>189</v>
      </c>
      <c r="AT250" s="139" t="s">
        <v>410</v>
      </c>
      <c r="AU250" s="139" t="s">
        <v>86</v>
      </c>
      <c r="AY250" s="18" t="s">
        <v>144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8" t="s">
        <v>84</v>
      </c>
      <c r="BK250" s="140">
        <f>ROUND(I250*H250,2)</f>
        <v>0</v>
      </c>
      <c r="BL250" s="18" t="s">
        <v>166</v>
      </c>
      <c r="BM250" s="139" t="s">
        <v>1109</v>
      </c>
    </row>
    <row r="251" spans="2:51" s="12" customFormat="1" ht="12">
      <c r="B251" s="152"/>
      <c r="D251" s="145" t="s">
        <v>249</v>
      </c>
      <c r="E251" s="153" t="s">
        <v>19</v>
      </c>
      <c r="F251" s="154" t="s">
        <v>1104</v>
      </c>
      <c r="H251" s="155">
        <v>69</v>
      </c>
      <c r="I251" s="156"/>
      <c r="L251" s="152"/>
      <c r="M251" s="157"/>
      <c r="T251" s="158"/>
      <c r="AT251" s="153" t="s">
        <v>249</v>
      </c>
      <c r="AU251" s="153" t="s">
        <v>86</v>
      </c>
      <c r="AV251" s="12" t="s">
        <v>86</v>
      </c>
      <c r="AW251" s="12" t="s">
        <v>37</v>
      </c>
      <c r="AX251" s="12" t="s">
        <v>76</v>
      </c>
      <c r="AY251" s="153" t="s">
        <v>144</v>
      </c>
    </row>
    <row r="252" spans="2:51" s="12" customFormat="1" ht="12">
      <c r="B252" s="152"/>
      <c r="D252" s="145" t="s">
        <v>249</v>
      </c>
      <c r="E252" s="153" t="s">
        <v>19</v>
      </c>
      <c r="F252" s="154" t="s">
        <v>1105</v>
      </c>
      <c r="H252" s="155">
        <v>38</v>
      </c>
      <c r="I252" s="156"/>
      <c r="L252" s="152"/>
      <c r="M252" s="157"/>
      <c r="T252" s="158"/>
      <c r="AT252" s="153" t="s">
        <v>249</v>
      </c>
      <c r="AU252" s="153" t="s">
        <v>86</v>
      </c>
      <c r="AV252" s="12" t="s">
        <v>86</v>
      </c>
      <c r="AW252" s="12" t="s">
        <v>37</v>
      </c>
      <c r="AX252" s="12" t="s">
        <v>76</v>
      </c>
      <c r="AY252" s="153" t="s">
        <v>144</v>
      </c>
    </row>
    <row r="253" spans="2:51" s="12" customFormat="1" ht="12">
      <c r="B253" s="152"/>
      <c r="D253" s="145" t="s">
        <v>249</v>
      </c>
      <c r="E253" s="153" t="s">
        <v>19</v>
      </c>
      <c r="F253" s="154" t="s">
        <v>1106</v>
      </c>
      <c r="H253" s="155">
        <v>58</v>
      </c>
      <c r="I253" s="156"/>
      <c r="L253" s="152"/>
      <c r="M253" s="157"/>
      <c r="T253" s="158"/>
      <c r="AT253" s="153" t="s">
        <v>249</v>
      </c>
      <c r="AU253" s="153" t="s">
        <v>86</v>
      </c>
      <c r="AV253" s="12" t="s">
        <v>86</v>
      </c>
      <c r="AW253" s="12" t="s">
        <v>37</v>
      </c>
      <c r="AX253" s="12" t="s">
        <v>76</v>
      </c>
      <c r="AY253" s="153" t="s">
        <v>144</v>
      </c>
    </row>
    <row r="254" spans="2:51" s="13" customFormat="1" ht="12">
      <c r="B254" s="159"/>
      <c r="D254" s="145" t="s">
        <v>249</v>
      </c>
      <c r="E254" s="160" t="s">
        <v>19</v>
      </c>
      <c r="F254" s="161" t="s">
        <v>251</v>
      </c>
      <c r="H254" s="162">
        <v>165</v>
      </c>
      <c r="I254" s="163"/>
      <c r="L254" s="159"/>
      <c r="M254" s="164"/>
      <c r="T254" s="165"/>
      <c r="AT254" s="160" t="s">
        <v>249</v>
      </c>
      <c r="AU254" s="160" t="s">
        <v>86</v>
      </c>
      <c r="AV254" s="13" t="s">
        <v>166</v>
      </c>
      <c r="AW254" s="13" t="s">
        <v>37</v>
      </c>
      <c r="AX254" s="13" t="s">
        <v>84</v>
      </c>
      <c r="AY254" s="160" t="s">
        <v>144</v>
      </c>
    </row>
    <row r="255" spans="2:65" s="1" customFormat="1" ht="47.4" customHeight="1">
      <c r="B255" s="33"/>
      <c r="C255" s="128" t="s">
        <v>481</v>
      </c>
      <c r="D255" s="128" t="s">
        <v>147</v>
      </c>
      <c r="E255" s="129" t="s">
        <v>801</v>
      </c>
      <c r="F255" s="130" t="s">
        <v>802</v>
      </c>
      <c r="G255" s="131" t="s">
        <v>308</v>
      </c>
      <c r="H255" s="132">
        <v>654</v>
      </c>
      <c r="I255" s="133"/>
      <c r="J255" s="134">
        <f>ROUND(I255*H255,2)</f>
        <v>0</v>
      </c>
      <c r="K255" s="130" t="s">
        <v>441</v>
      </c>
      <c r="L255" s="33"/>
      <c r="M255" s="135" t="s">
        <v>19</v>
      </c>
      <c r="N255" s="136" t="s">
        <v>47</v>
      </c>
      <c r="P255" s="137">
        <f>O255*H255</f>
        <v>0</v>
      </c>
      <c r="Q255" s="137">
        <v>0.1295</v>
      </c>
      <c r="R255" s="137">
        <f>Q255*H255</f>
        <v>84.693</v>
      </c>
      <c r="S255" s="137">
        <v>0</v>
      </c>
      <c r="T255" s="138">
        <f>S255*H255</f>
        <v>0</v>
      </c>
      <c r="AR255" s="139" t="s">
        <v>166</v>
      </c>
      <c r="AT255" s="139" t="s">
        <v>147</v>
      </c>
      <c r="AU255" s="139" t="s">
        <v>86</v>
      </c>
      <c r="AY255" s="18" t="s">
        <v>144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8" t="s">
        <v>84</v>
      </c>
      <c r="BK255" s="140">
        <f>ROUND(I255*H255,2)</f>
        <v>0</v>
      </c>
      <c r="BL255" s="18" t="s">
        <v>166</v>
      </c>
      <c r="BM255" s="139" t="s">
        <v>1110</v>
      </c>
    </row>
    <row r="256" spans="2:47" s="1" customFormat="1" ht="12">
      <c r="B256" s="33"/>
      <c r="D256" s="141" t="s">
        <v>154</v>
      </c>
      <c r="F256" s="142" t="s">
        <v>804</v>
      </c>
      <c r="I256" s="143"/>
      <c r="L256" s="33"/>
      <c r="M256" s="144"/>
      <c r="T256" s="54"/>
      <c r="AT256" s="18" t="s">
        <v>154</v>
      </c>
      <c r="AU256" s="18" t="s">
        <v>86</v>
      </c>
    </row>
    <row r="257" spans="2:51" s="12" customFormat="1" ht="12">
      <c r="B257" s="152"/>
      <c r="D257" s="145" t="s">
        <v>249</v>
      </c>
      <c r="E257" s="153" t="s">
        <v>19</v>
      </c>
      <c r="F257" s="154" t="s">
        <v>1111</v>
      </c>
      <c r="H257" s="155">
        <v>654</v>
      </c>
      <c r="I257" s="156"/>
      <c r="L257" s="152"/>
      <c r="M257" s="157"/>
      <c r="T257" s="158"/>
      <c r="AT257" s="153" t="s">
        <v>249</v>
      </c>
      <c r="AU257" s="153" t="s">
        <v>86</v>
      </c>
      <c r="AV257" s="12" t="s">
        <v>86</v>
      </c>
      <c r="AW257" s="12" t="s">
        <v>37</v>
      </c>
      <c r="AX257" s="12" t="s">
        <v>76</v>
      </c>
      <c r="AY257" s="153" t="s">
        <v>144</v>
      </c>
    </row>
    <row r="258" spans="2:51" s="13" customFormat="1" ht="12">
      <c r="B258" s="159"/>
      <c r="D258" s="145" t="s">
        <v>249</v>
      </c>
      <c r="E258" s="160" t="s">
        <v>19</v>
      </c>
      <c r="F258" s="161" t="s">
        <v>251</v>
      </c>
      <c r="H258" s="162">
        <v>654</v>
      </c>
      <c r="I258" s="163"/>
      <c r="L258" s="159"/>
      <c r="M258" s="164"/>
      <c r="T258" s="165"/>
      <c r="AT258" s="160" t="s">
        <v>249</v>
      </c>
      <c r="AU258" s="160" t="s">
        <v>86</v>
      </c>
      <c r="AV258" s="13" t="s">
        <v>166</v>
      </c>
      <c r="AW258" s="13" t="s">
        <v>37</v>
      </c>
      <c r="AX258" s="13" t="s">
        <v>84</v>
      </c>
      <c r="AY258" s="160" t="s">
        <v>144</v>
      </c>
    </row>
    <row r="259" spans="2:65" s="1" customFormat="1" ht="15" customHeight="1">
      <c r="B259" s="33"/>
      <c r="C259" s="172" t="s">
        <v>491</v>
      </c>
      <c r="D259" s="172" t="s">
        <v>410</v>
      </c>
      <c r="E259" s="173" t="s">
        <v>807</v>
      </c>
      <c r="F259" s="174" t="s">
        <v>808</v>
      </c>
      <c r="G259" s="175" t="s">
        <v>308</v>
      </c>
      <c r="H259" s="176">
        <v>667.08</v>
      </c>
      <c r="I259" s="177"/>
      <c r="J259" s="178">
        <f>ROUND(I259*H259,2)</f>
        <v>0</v>
      </c>
      <c r="K259" s="174" t="s">
        <v>151</v>
      </c>
      <c r="L259" s="179"/>
      <c r="M259" s="180" t="s">
        <v>19</v>
      </c>
      <c r="N259" s="181" t="s">
        <v>47</v>
      </c>
      <c r="P259" s="137">
        <f>O259*H259</f>
        <v>0</v>
      </c>
      <c r="Q259" s="137">
        <v>0.046</v>
      </c>
      <c r="R259" s="137">
        <f>Q259*H259</f>
        <v>30.68568</v>
      </c>
      <c r="S259" s="137">
        <v>0</v>
      </c>
      <c r="T259" s="138">
        <f>S259*H259</f>
        <v>0</v>
      </c>
      <c r="AR259" s="139" t="s">
        <v>189</v>
      </c>
      <c r="AT259" s="139" t="s">
        <v>410</v>
      </c>
      <c r="AU259" s="139" t="s">
        <v>86</v>
      </c>
      <c r="AY259" s="18" t="s">
        <v>144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8" t="s">
        <v>84</v>
      </c>
      <c r="BK259" s="140">
        <f>ROUND(I259*H259,2)</f>
        <v>0</v>
      </c>
      <c r="BL259" s="18" t="s">
        <v>166</v>
      </c>
      <c r="BM259" s="139" t="s">
        <v>1112</v>
      </c>
    </row>
    <row r="260" spans="2:51" s="12" customFormat="1" ht="12">
      <c r="B260" s="152"/>
      <c r="D260" s="145" t="s">
        <v>249</v>
      </c>
      <c r="F260" s="154" t="s">
        <v>1113</v>
      </c>
      <c r="H260" s="155">
        <v>667.08</v>
      </c>
      <c r="I260" s="156"/>
      <c r="L260" s="152"/>
      <c r="M260" s="157"/>
      <c r="T260" s="158"/>
      <c r="AT260" s="153" t="s">
        <v>249</v>
      </c>
      <c r="AU260" s="153" t="s">
        <v>86</v>
      </c>
      <c r="AV260" s="12" t="s">
        <v>86</v>
      </c>
      <c r="AW260" s="12" t="s">
        <v>4</v>
      </c>
      <c r="AX260" s="12" t="s">
        <v>84</v>
      </c>
      <c r="AY260" s="153" t="s">
        <v>144</v>
      </c>
    </row>
    <row r="261" spans="2:65" s="1" customFormat="1" ht="53.25" customHeight="1">
      <c r="B261" s="33"/>
      <c r="C261" s="128" t="s">
        <v>496</v>
      </c>
      <c r="D261" s="128" t="s">
        <v>147</v>
      </c>
      <c r="E261" s="129" t="s">
        <v>827</v>
      </c>
      <c r="F261" s="130" t="s">
        <v>828</v>
      </c>
      <c r="G261" s="131" t="s">
        <v>308</v>
      </c>
      <c r="H261" s="132">
        <v>89</v>
      </c>
      <c r="I261" s="133"/>
      <c r="J261" s="134">
        <f>ROUND(I261*H261,2)</f>
        <v>0</v>
      </c>
      <c r="K261" s="130" t="s">
        <v>151</v>
      </c>
      <c r="L261" s="33"/>
      <c r="M261" s="135" t="s">
        <v>19</v>
      </c>
      <c r="N261" s="136" t="s">
        <v>47</v>
      </c>
      <c r="P261" s="137">
        <f>O261*H261</f>
        <v>0</v>
      </c>
      <c r="Q261" s="137">
        <v>0.16371</v>
      </c>
      <c r="R261" s="137">
        <f>Q261*H261</f>
        <v>14.57019</v>
      </c>
      <c r="S261" s="137">
        <v>0</v>
      </c>
      <c r="T261" s="138">
        <f>S261*H261</f>
        <v>0</v>
      </c>
      <c r="AR261" s="139" t="s">
        <v>166</v>
      </c>
      <c r="AT261" s="139" t="s">
        <v>147</v>
      </c>
      <c r="AU261" s="139" t="s">
        <v>86</v>
      </c>
      <c r="AY261" s="18" t="s">
        <v>144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8" t="s">
        <v>84</v>
      </c>
      <c r="BK261" s="140">
        <f>ROUND(I261*H261,2)</f>
        <v>0</v>
      </c>
      <c r="BL261" s="18" t="s">
        <v>166</v>
      </c>
      <c r="BM261" s="139" t="s">
        <v>1114</v>
      </c>
    </row>
    <row r="262" spans="2:47" s="1" customFormat="1" ht="12">
      <c r="B262" s="33"/>
      <c r="D262" s="141" t="s">
        <v>154</v>
      </c>
      <c r="F262" s="142" t="s">
        <v>830</v>
      </c>
      <c r="I262" s="143"/>
      <c r="L262" s="33"/>
      <c r="M262" s="144"/>
      <c r="T262" s="54"/>
      <c r="AT262" s="18" t="s">
        <v>154</v>
      </c>
      <c r="AU262" s="18" t="s">
        <v>86</v>
      </c>
    </row>
    <row r="263" spans="2:65" s="1" customFormat="1" ht="15" customHeight="1">
      <c r="B263" s="33"/>
      <c r="C263" s="172" t="s">
        <v>504</v>
      </c>
      <c r="D263" s="172" t="s">
        <v>410</v>
      </c>
      <c r="E263" s="173" t="s">
        <v>832</v>
      </c>
      <c r="F263" s="174" t="s">
        <v>833</v>
      </c>
      <c r="G263" s="175" t="s">
        <v>308</v>
      </c>
      <c r="H263" s="176">
        <v>90.78</v>
      </c>
      <c r="I263" s="177"/>
      <c r="J263" s="178">
        <f>ROUND(I263*H263,2)</f>
        <v>0</v>
      </c>
      <c r="K263" s="174" t="s">
        <v>151</v>
      </c>
      <c r="L263" s="179"/>
      <c r="M263" s="180" t="s">
        <v>19</v>
      </c>
      <c r="N263" s="181" t="s">
        <v>47</v>
      </c>
      <c r="P263" s="137">
        <f>O263*H263</f>
        <v>0</v>
      </c>
      <c r="Q263" s="137">
        <v>0.134</v>
      </c>
      <c r="R263" s="137">
        <f>Q263*H263</f>
        <v>12.164520000000001</v>
      </c>
      <c r="S263" s="137">
        <v>0</v>
      </c>
      <c r="T263" s="138">
        <f>S263*H263</f>
        <v>0</v>
      </c>
      <c r="AR263" s="139" t="s">
        <v>189</v>
      </c>
      <c r="AT263" s="139" t="s">
        <v>410</v>
      </c>
      <c r="AU263" s="139" t="s">
        <v>86</v>
      </c>
      <c r="AY263" s="18" t="s">
        <v>144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8" t="s">
        <v>84</v>
      </c>
      <c r="BK263" s="140">
        <f>ROUND(I263*H263,2)</f>
        <v>0</v>
      </c>
      <c r="BL263" s="18" t="s">
        <v>166</v>
      </c>
      <c r="BM263" s="139" t="s">
        <v>1115</v>
      </c>
    </row>
    <row r="264" spans="2:51" s="12" customFormat="1" ht="12">
      <c r="B264" s="152"/>
      <c r="D264" s="145" t="s">
        <v>249</v>
      </c>
      <c r="F264" s="154" t="s">
        <v>1116</v>
      </c>
      <c r="H264" s="155">
        <v>90.78</v>
      </c>
      <c r="I264" s="156"/>
      <c r="L264" s="152"/>
      <c r="M264" s="157"/>
      <c r="T264" s="158"/>
      <c r="AT264" s="153" t="s">
        <v>249</v>
      </c>
      <c r="AU264" s="153" t="s">
        <v>86</v>
      </c>
      <c r="AV264" s="12" t="s">
        <v>86</v>
      </c>
      <c r="AW264" s="12" t="s">
        <v>4</v>
      </c>
      <c r="AX264" s="12" t="s">
        <v>84</v>
      </c>
      <c r="AY264" s="153" t="s">
        <v>144</v>
      </c>
    </row>
    <row r="265" spans="2:65" s="1" customFormat="1" ht="36.6" customHeight="1">
      <c r="B265" s="33"/>
      <c r="C265" s="128" t="s">
        <v>511</v>
      </c>
      <c r="D265" s="128" t="s">
        <v>147</v>
      </c>
      <c r="E265" s="129" t="s">
        <v>1117</v>
      </c>
      <c r="F265" s="130" t="s">
        <v>1118</v>
      </c>
      <c r="G265" s="131" t="s">
        <v>308</v>
      </c>
      <c r="H265" s="132">
        <v>3</v>
      </c>
      <c r="I265" s="133"/>
      <c r="J265" s="134">
        <f>ROUND(I265*H265,2)</f>
        <v>0</v>
      </c>
      <c r="K265" s="130" t="s">
        <v>19</v>
      </c>
      <c r="L265" s="33"/>
      <c r="M265" s="135" t="s">
        <v>19</v>
      </c>
      <c r="N265" s="136" t="s">
        <v>47</v>
      </c>
      <c r="P265" s="137">
        <f>O265*H265</f>
        <v>0</v>
      </c>
      <c r="Q265" s="137">
        <v>0.29221</v>
      </c>
      <c r="R265" s="137">
        <f>Q265*H265</f>
        <v>0.87663</v>
      </c>
      <c r="S265" s="137">
        <v>0</v>
      </c>
      <c r="T265" s="138">
        <f>S265*H265</f>
        <v>0</v>
      </c>
      <c r="AR265" s="139" t="s">
        <v>166</v>
      </c>
      <c r="AT265" s="139" t="s">
        <v>147</v>
      </c>
      <c r="AU265" s="139" t="s">
        <v>86</v>
      </c>
      <c r="AY265" s="18" t="s">
        <v>144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8" t="s">
        <v>84</v>
      </c>
      <c r="BK265" s="140">
        <f>ROUND(I265*H265,2)</f>
        <v>0</v>
      </c>
      <c r="BL265" s="18" t="s">
        <v>166</v>
      </c>
      <c r="BM265" s="139" t="s">
        <v>1119</v>
      </c>
    </row>
    <row r="266" spans="2:63" s="11" customFormat="1" ht="22.8" customHeight="1">
      <c r="B266" s="116"/>
      <c r="D266" s="117" t="s">
        <v>75</v>
      </c>
      <c r="E266" s="126" t="s">
        <v>869</v>
      </c>
      <c r="F266" s="126" t="s">
        <v>870</v>
      </c>
      <c r="I266" s="119"/>
      <c r="J266" s="127">
        <f>BK266</f>
        <v>0</v>
      </c>
      <c r="L266" s="116"/>
      <c r="M266" s="121"/>
      <c r="P266" s="122">
        <f>SUM(P267:P312)</f>
        <v>0</v>
      </c>
      <c r="R266" s="122">
        <f>SUM(R267:R312)</f>
        <v>0</v>
      </c>
      <c r="T266" s="123">
        <f>SUM(T267:T312)</f>
        <v>0</v>
      </c>
      <c r="AR266" s="117" t="s">
        <v>84</v>
      </c>
      <c r="AT266" s="124" t="s">
        <v>75</v>
      </c>
      <c r="AU266" s="124" t="s">
        <v>84</v>
      </c>
      <c r="AY266" s="117" t="s">
        <v>144</v>
      </c>
      <c r="BK266" s="125">
        <f>SUM(BK267:BK312)</f>
        <v>0</v>
      </c>
    </row>
    <row r="267" spans="2:65" s="1" customFormat="1" ht="36.6" customHeight="1">
      <c r="B267" s="33"/>
      <c r="C267" s="128" t="s">
        <v>517</v>
      </c>
      <c r="D267" s="128" t="s">
        <v>147</v>
      </c>
      <c r="E267" s="129" t="s">
        <v>878</v>
      </c>
      <c r="F267" s="130" t="s">
        <v>879</v>
      </c>
      <c r="G267" s="131" t="s">
        <v>413</v>
      </c>
      <c r="H267" s="132">
        <v>857.36</v>
      </c>
      <c r="I267" s="133"/>
      <c r="J267" s="134">
        <f>ROUND(I267*H267,2)</f>
        <v>0</v>
      </c>
      <c r="K267" s="130" t="s">
        <v>151</v>
      </c>
      <c r="L267" s="33"/>
      <c r="M267" s="135" t="s">
        <v>19</v>
      </c>
      <c r="N267" s="136" t="s">
        <v>47</v>
      </c>
      <c r="P267" s="137">
        <f>O267*H267</f>
        <v>0</v>
      </c>
      <c r="Q267" s="137">
        <v>0</v>
      </c>
      <c r="R267" s="137">
        <f>Q267*H267</f>
        <v>0</v>
      </c>
      <c r="S267" s="137">
        <v>0</v>
      </c>
      <c r="T267" s="138">
        <f>S267*H267</f>
        <v>0</v>
      </c>
      <c r="AR267" s="139" t="s">
        <v>166</v>
      </c>
      <c r="AT267" s="139" t="s">
        <v>147</v>
      </c>
      <c r="AU267" s="139" t="s">
        <v>86</v>
      </c>
      <c r="AY267" s="18" t="s">
        <v>144</v>
      </c>
      <c r="BE267" s="140">
        <f>IF(N267="základní",J267,0)</f>
        <v>0</v>
      </c>
      <c r="BF267" s="140">
        <f>IF(N267="snížená",J267,0)</f>
        <v>0</v>
      </c>
      <c r="BG267" s="140">
        <f>IF(N267="zákl. přenesená",J267,0)</f>
        <v>0</v>
      </c>
      <c r="BH267" s="140">
        <f>IF(N267="sníž. přenesená",J267,0)</f>
        <v>0</v>
      </c>
      <c r="BI267" s="140">
        <f>IF(N267="nulová",J267,0)</f>
        <v>0</v>
      </c>
      <c r="BJ267" s="18" t="s">
        <v>84</v>
      </c>
      <c r="BK267" s="140">
        <f>ROUND(I267*H267,2)</f>
        <v>0</v>
      </c>
      <c r="BL267" s="18" t="s">
        <v>166</v>
      </c>
      <c r="BM267" s="139" t="s">
        <v>1120</v>
      </c>
    </row>
    <row r="268" spans="2:47" s="1" customFormat="1" ht="12">
      <c r="B268" s="33"/>
      <c r="D268" s="141" t="s">
        <v>154</v>
      </c>
      <c r="F268" s="142" t="s">
        <v>881</v>
      </c>
      <c r="I268" s="143"/>
      <c r="L268" s="33"/>
      <c r="M268" s="144"/>
      <c r="T268" s="54"/>
      <c r="AT268" s="18" t="s">
        <v>154</v>
      </c>
      <c r="AU268" s="18" t="s">
        <v>86</v>
      </c>
    </row>
    <row r="269" spans="2:51" s="12" customFormat="1" ht="20.4">
      <c r="B269" s="152"/>
      <c r="D269" s="145" t="s">
        <v>249</v>
      </c>
      <c r="E269" s="153" t="s">
        <v>19</v>
      </c>
      <c r="F269" s="154" t="s">
        <v>1121</v>
      </c>
      <c r="H269" s="155">
        <v>235.69</v>
      </c>
      <c r="I269" s="156"/>
      <c r="L269" s="152"/>
      <c r="M269" s="157"/>
      <c r="T269" s="158"/>
      <c r="AT269" s="153" t="s">
        <v>249</v>
      </c>
      <c r="AU269" s="153" t="s">
        <v>86</v>
      </c>
      <c r="AV269" s="12" t="s">
        <v>86</v>
      </c>
      <c r="AW269" s="12" t="s">
        <v>37</v>
      </c>
      <c r="AX269" s="12" t="s">
        <v>76</v>
      </c>
      <c r="AY269" s="153" t="s">
        <v>144</v>
      </c>
    </row>
    <row r="270" spans="2:51" s="12" customFormat="1" ht="20.4">
      <c r="B270" s="152"/>
      <c r="D270" s="145" t="s">
        <v>249</v>
      </c>
      <c r="E270" s="153" t="s">
        <v>19</v>
      </c>
      <c r="F270" s="154" t="s">
        <v>1122</v>
      </c>
      <c r="H270" s="155">
        <v>235.69</v>
      </c>
      <c r="I270" s="156"/>
      <c r="L270" s="152"/>
      <c r="M270" s="157"/>
      <c r="T270" s="158"/>
      <c r="AT270" s="153" t="s">
        <v>249</v>
      </c>
      <c r="AU270" s="153" t="s">
        <v>86</v>
      </c>
      <c r="AV270" s="12" t="s">
        <v>86</v>
      </c>
      <c r="AW270" s="12" t="s">
        <v>37</v>
      </c>
      <c r="AX270" s="12" t="s">
        <v>76</v>
      </c>
      <c r="AY270" s="153" t="s">
        <v>144</v>
      </c>
    </row>
    <row r="271" spans="2:51" s="12" customFormat="1" ht="20.4">
      <c r="B271" s="152"/>
      <c r="D271" s="145" t="s">
        <v>249</v>
      </c>
      <c r="E271" s="153" t="s">
        <v>19</v>
      </c>
      <c r="F271" s="154" t="s">
        <v>1123</v>
      </c>
      <c r="H271" s="155">
        <v>385.98</v>
      </c>
      <c r="I271" s="156"/>
      <c r="L271" s="152"/>
      <c r="M271" s="157"/>
      <c r="T271" s="158"/>
      <c r="AT271" s="153" t="s">
        <v>249</v>
      </c>
      <c r="AU271" s="153" t="s">
        <v>86</v>
      </c>
      <c r="AV271" s="12" t="s">
        <v>86</v>
      </c>
      <c r="AW271" s="12" t="s">
        <v>37</v>
      </c>
      <c r="AX271" s="12" t="s">
        <v>76</v>
      </c>
      <c r="AY271" s="153" t="s">
        <v>144</v>
      </c>
    </row>
    <row r="272" spans="2:51" s="13" customFormat="1" ht="12">
      <c r="B272" s="159"/>
      <c r="D272" s="145" t="s">
        <v>249</v>
      </c>
      <c r="E272" s="160" t="s">
        <v>19</v>
      </c>
      <c r="F272" s="161" t="s">
        <v>251</v>
      </c>
      <c r="H272" s="162">
        <v>857.36</v>
      </c>
      <c r="I272" s="163"/>
      <c r="L272" s="159"/>
      <c r="M272" s="164"/>
      <c r="T272" s="165"/>
      <c r="AT272" s="160" t="s">
        <v>249</v>
      </c>
      <c r="AU272" s="160" t="s">
        <v>86</v>
      </c>
      <c r="AV272" s="13" t="s">
        <v>166</v>
      </c>
      <c r="AW272" s="13" t="s">
        <v>37</v>
      </c>
      <c r="AX272" s="13" t="s">
        <v>84</v>
      </c>
      <c r="AY272" s="160" t="s">
        <v>144</v>
      </c>
    </row>
    <row r="273" spans="2:65" s="1" customFormat="1" ht="36.6" customHeight="1">
      <c r="B273" s="33"/>
      <c r="C273" s="128" t="s">
        <v>523</v>
      </c>
      <c r="D273" s="128" t="s">
        <v>147</v>
      </c>
      <c r="E273" s="129" t="s">
        <v>878</v>
      </c>
      <c r="F273" s="130" t="s">
        <v>879</v>
      </c>
      <c r="G273" s="131" t="s">
        <v>413</v>
      </c>
      <c r="H273" s="132">
        <v>131.334</v>
      </c>
      <c r="I273" s="133"/>
      <c r="J273" s="134">
        <f>ROUND(I273*H273,2)</f>
        <v>0</v>
      </c>
      <c r="K273" s="130" t="s">
        <v>151</v>
      </c>
      <c r="L273" s="33"/>
      <c r="M273" s="135" t="s">
        <v>19</v>
      </c>
      <c r="N273" s="136" t="s">
        <v>47</v>
      </c>
      <c r="P273" s="137">
        <f>O273*H273</f>
        <v>0</v>
      </c>
      <c r="Q273" s="137">
        <v>0</v>
      </c>
      <c r="R273" s="137">
        <f>Q273*H273</f>
        <v>0</v>
      </c>
      <c r="S273" s="137">
        <v>0</v>
      </c>
      <c r="T273" s="138">
        <f>S273*H273</f>
        <v>0</v>
      </c>
      <c r="AR273" s="139" t="s">
        <v>166</v>
      </c>
      <c r="AT273" s="139" t="s">
        <v>147</v>
      </c>
      <c r="AU273" s="139" t="s">
        <v>86</v>
      </c>
      <c r="AY273" s="18" t="s">
        <v>144</v>
      </c>
      <c r="BE273" s="140">
        <f>IF(N273="základní",J273,0)</f>
        <v>0</v>
      </c>
      <c r="BF273" s="140">
        <f>IF(N273="snížená",J273,0)</f>
        <v>0</v>
      </c>
      <c r="BG273" s="140">
        <f>IF(N273="zákl. přenesená",J273,0)</f>
        <v>0</v>
      </c>
      <c r="BH273" s="140">
        <f>IF(N273="sníž. přenesená",J273,0)</f>
        <v>0</v>
      </c>
      <c r="BI273" s="140">
        <f>IF(N273="nulová",J273,0)</f>
        <v>0</v>
      </c>
      <c r="BJ273" s="18" t="s">
        <v>84</v>
      </c>
      <c r="BK273" s="140">
        <f>ROUND(I273*H273,2)</f>
        <v>0</v>
      </c>
      <c r="BL273" s="18" t="s">
        <v>166</v>
      </c>
      <c r="BM273" s="139" t="s">
        <v>1124</v>
      </c>
    </row>
    <row r="274" spans="2:47" s="1" customFormat="1" ht="12">
      <c r="B274" s="33"/>
      <c r="D274" s="141" t="s">
        <v>154</v>
      </c>
      <c r="F274" s="142" t="s">
        <v>881</v>
      </c>
      <c r="I274" s="143"/>
      <c r="L274" s="33"/>
      <c r="M274" s="144"/>
      <c r="T274" s="54"/>
      <c r="AT274" s="18" t="s">
        <v>154</v>
      </c>
      <c r="AU274" s="18" t="s">
        <v>86</v>
      </c>
    </row>
    <row r="275" spans="2:51" s="12" customFormat="1" ht="20.4">
      <c r="B275" s="152"/>
      <c r="D275" s="145" t="s">
        <v>249</v>
      </c>
      <c r="E275" s="153" t="s">
        <v>19</v>
      </c>
      <c r="F275" s="154" t="s">
        <v>1125</v>
      </c>
      <c r="H275" s="155">
        <v>40.474</v>
      </c>
      <c r="I275" s="156"/>
      <c r="L275" s="152"/>
      <c r="M275" s="157"/>
      <c r="T275" s="158"/>
      <c r="AT275" s="153" t="s">
        <v>249</v>
      </c>
      <c r="AU275" s="153" t="s">
        <v>86</v>
      </c>
      <c r="AV275" s="12" t="s">
        <v>86</v>
      </c>
      <c r="AW275" s="12" t="s">
        <v>37</v>
      </c>
      <c r="AX275" s="12" t="s">
        <v>76</v>
      </c>
      <c r="AY275" s="153" t="s">
        <v>144</v>
      </c>
    </row>
    <row r="276" spans="2:51" s="12" customFormat="1" ht="20.4">
      <c r="B276" s="152"/>
      <c r="D276" s="145" t="s">
        <v>249</v>
      </c>
      <c r="E276" s="153" t="s">
        <v>19</v>
      </c>
      <c r="F276" s="154" t="s">
        <v>1126</v>
      </c>
      <c r="H276" s="155">
        <v>90.86</v>
      </c>
      <c r="I276" s="156"/>
      <c r="L276" s="152"/>
      <c r="M276" s="157"/>
      <c r="T276" s="158"/>
      <c r="AT276" s="153" t="s">
        <v>249</v>
      </c>
      <c r="AU276" s="153" t="s">
        <v>86</v>
      </c>
      <c r="AV276" s="12" t="s">
        <v>86</v>
      </c>
      <c r="AW276" s="12" t="s">
        <v>37</v>
      </c>
      <c r="AX276" s="12" t="s">
        <v>76</v>
      </c>
      <c r="AY276" s="153" t="s">
        <v>144</v>
      </c>
    </row>
    <row r="277" spans="2:51" s="13" customFormat="1" ht="12">
      <c r="B277" s="159"/>
      <c r="D277" s="145" t="s">
        <v>249</v>
      </c>
      <c r="E277" s="160" t="s">
        <v>19</v>
      </c>
      <c r="F277" s="161" t="s">
        <v>251</v>
      </c>
      <c r="H277" s="162">
        <v>131.334</v>
      </c>
      <c r="I277" s="163"/>
      <c r="L277" s="159"/>
      <c r="M277" s="164"/>
      <c r="T277" s="165"/>
      <c r="AT277" s="160" t="s">
        <v>249</v>
      </c>
      <c r="AU277" s="160" t="s">
        <v>86</v>
      </c>
      <c r="AV277" s="13" t="s">
        <v>166</v>
      </c>
      <c r="AW277" s="13" t="s">
        <v>37</v>
      </c>
      <c r="AX277" s="13" t="s">
        <v>84</v>
      </c>
      <c r="AY277" s="160" t="s">
        <v>144</v>
      </c>
    </row>
    <row r="278" spans="2:65" s="1" customFormat="1" ht="36.6" customHeight="1">
      <c r="B278" s="33"/>
      <c r="C278" s="128" t="s">
        <v>528</v>
      </c>
      <c r="D278" s="128" t="s">
        <v>147</v>
      </c>
      <c r="E278" s="129" t="s">
        <v>892</v>
      </c>
      <c r="F278" s="130" t="s">
        <v>893</v>
      </c>
      <c r="G278" s="131" t="s">
        <v>413</v>
      </c>
      <c r="H278" s="132">
        <v>2495.346</v>
      </c>
      <c r="I278" s="133"/>
      <c r="J278" s="134">
        <f>ROUND(I278*H278,2)</f>
        <v>0</v>
      </c>
      <c r="K278" s="130" t="s">
        <v>151</v>
      </c>
      <c r="L278" s="33"/>
      <c r="M278" s="135" t="s">
        <v>19</v>
      </c>
      <c r="N278" s="136" t="s">
        <v>47</v>
      </c>
      <c r="P278" s="137">
        <f>O278*H278</f>
        <v>0</v>
      </c>
      <c r="Q278" s="137">
        <v>0</v>
      </c>
      <c r="R278" s="137">
        <f>Q278*H278</f>
        <v>0</v>
      </c>
      <c r="S278" s="137">
        <v>0</v>
      </c>
      <c r="T278" s="138">
        <f>S278*H278</f>
        <v>0</v>
      </c>
      <c r="AR278" s="139" t="s">
        <v>166</v>
      </c>
      <c r="AT278" s="139" t="s">
        <v>147</v>
      </c>
      <c r="AU278" s="139" t="s">
        <v>86</v>
      </c>
      <c r="AY278" s="18" t="s">
        <v>144</v>
      </c>
      <c r="BE278" s="140">
        <f>IF(N278="základní",J278,0)</f>
        <v>0</v>
      </c>
      <c r="BF278" s="140">
        <f>IF(N278="snížená",J278,0)</f>
        <v>0</v>
      </c>
      <c r="BG278" s="140">
        <f>IF(N278="zákl. přenesená",J278,0)</f>
        <v>0</v>
      </c>
      <c r="BH278" s="140">
        <f>IF(N278="sníž. přenesená",J278,0)</f>
        <v>0</v>
      </c>
      <c r="BI278" s="140">
        <f>IF(N278="nulová",J278,0)</f>
        <v>0</v>
      </c>
      <c r="BJ278" s="18" t="s">
        <v>84</v>
      </c>
      <c r="BK278" s="140">
        <f>ROUND(I278*H278,2)</f>
        <v>0</v>
      </c>
      <c r="BL278" s="18" t="s">
        <v>166</v>
      </c>
      <c r="BM278" s="139" t="s">
        <v>1127</v>
      </c>
    </row>
    <row r="279" spans="2:47" s="1" customFormat="1" ht="12">
      <c r="B279" s="33"/>
      <c r="D279" s="141" t="s">
        <v>154</v>
      </c>
      <c r="F279" s="142" t="s">
        <v>895</v>
      </c>
      <c r="I279" s="143"/>
      <c r="L279" s="33"/>
      <c r="M279" s="144"/>
      <c r="T279" s="54"/>
      <c r="AT279" s="18" t="s">
        <v>154</v>
      </c>
      <c r="AU279" s="18" t="s">
        <v>86</v>
      </c>
    </row>
    <row r="280" spans="2:51" s="12" customFormat="1" ht="12">
      <c r="B280" s="152"/>
      <c r="D280" s="145" t="s">
        <v>249</v>
      </c>
      <c r="F280" s="154" t="s">
        <v>1128</v>
      </c>
      <c r="H280" s="155">
        <v>2495.346</v>
      </c>
      <c r="I280" s="156"/>
      <c r="L280" s="152"/>
      <c r="M280" s="157"/>
      <c r="T280" s="158"/>
      <c r="AT280" s="153" t="s">
        <v>249</v>
      </c>
      <c r="AU280" s="153" t="s">
        <v>86</v>
      </c>
      <c r="AV280" s="12" t="s">
        <v>86</v>
      </c>
      <c r="AW280" s="12" t="s">
        <v>4</v>
      </c>
      <c r="AX280" s="12" t="s">
        <v>84</v>
      </c>
      <c r="AY280" s="153" t="s">
        <v>144</v>
      </c>
    </row>
    <row r="281" spans="2:65" s="1" customFormat="1" ht="36.6" customHeight="1">
      <c r="B281" s="33"/>
      <c r="C281" s="128" t="s">
        <v>534</v>
      </c>
      <c r="D281" s="128" t="s">
        <v>147</v>
      </c>
      <c r="E281" s="129" t="s">
        <v>898</v>
      </c>
      <c r="F281" s="130" t="s">
        <v>899</v>
      </c>
      <c r="G281" s="131" t="s">
        <v>413</v>
      </c>
      <c r="H281" s="132">
        <v>202.53</v>
      </c>
      <c r="I281" s="133"/>
      <c r="J281" s="134">
        <f>ROUND(I281*H281,2)</f>
        <v>0</v>
      </c>
      <c r="K281" s="130" t="s">
        <v>151</v>
      </c>
      <c r="L281" s="33"/>
      <c r="M281" s="135" t="s">
        <v>19</v>
      </c>
      <c r="N281" s="136" t="s">
        <v>47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166</v>
      </c>
      <c r="AT281" s="139" t="s">
        <v>147</v>
      </c>
      <c r="AU281" s="139" t="s">
        <v>86</v>
      </c>
      <c r="AY281" s="18" t="s">
        <v>144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84</v>
      </c>
      <c r="BK281" s="140">
        <f>ROUND(I281*H281,2)</f>
        <v>0</v>
      </c>
      <c r="BL281" s="18" t="s">
        <v>166</v>
      </c>
      <c r="BM281" s="139" t="s">
        <v>1129</v>
      </c>
    </row>
    <row r="282" spans="2:47" s="1" customFormat="1" ht="12">
      <c r="B282" s="33"/>
      <c r="D282" s="141" t="s">
        <v>154</v>
      </c>
      <c r="F282" s="142" t="s">
        <v>901</v>
      </c>
      <c r="I282" s="143"/>
      <c r="L282" s="33"/>
      <c r="M282" s="144"/>
      <c r="T282" s="54"/>
      <c r="AT282" s="18" t="s">
        <v>154</v>
      </c>
      <c r="AU282" s="18" t="s">
        <v>86</v>
      </c>
    </row>
    <row r="283" spans="2:51" s="12" customFormat="1" ht="12">
      <c r="B283" s="152"/>
      <c r="D283" s="145" t="s">
        <v>249</v>
      </c>
      <c r="E283" s="153" t="s">
        <v>19</v>
      </c>
      <c r="F283" s="154" t="s">
        <v>1130</v>
      </c>
      <c r="H283" s="155">
        <v>61.965</v>
      </c>
      <c r="I283" s="156"/>
      <c r="L283" s="152"/>
      <c r="M283" s="157"/>
      <c r="T283" s="158"/>
      <c r="AT283" s="153" t="s">
        <v>249</v>
      </c>
      <c r="AU283" s="153" t="s">
        <v>86</v>
      </c>
      <c r="AV283" s="12" t="s">
        <v>86</v>
      </c>
      <c r="AW283" s="12" t="s">
        <v>37</v>
      </c>
      <c r="AX283" s="12" t="s">
        <v>76</v>
      </c>
      <c r="AY283" s="153" t="s">
        <v>144</v>
      </c>
    </row>
    <row r="284" spans="2:51" s="12" customFormat="1" ht="12">
      <c r="B284" s="152"/>
      <c r="D284" s="145" t="s">
        <v>249</v>
      </c>
      <c r="E284" s="153" t="s">
        <v>19</v>
      </c>
      <c r="F284" s="154" t="s">
        <v>1131</v>
      </c>
      <c r="H284" s="155">
        <v>21.2</v>
      </c>
      <c r="I284" s="156"/>
      <c r="L284" s="152"/>
      <c r="M284" s="157"/>
      <c r="T284" s="158"/>
      <c r="AT284" s="153" t="s">
        <v>249</v>
      </c>
      <c r="AU284" s="153" t="s">
        <v>86</v>
      </c>
      <c r="AV284" s="12" t="s">
        <v>86</v>
      </c>
      <c r="AW284" s="12" t="s">
        <v>37</v>
      </c>
      <c r="AX284" s="12" t="s">
        <v>76</v>
      </c>
      <c r="AY284" s="153" t="s">
        <v>144</v>
      </c>
    </row>
    <row r="285" spans="2:51" s="12" customFormat="1" ht="12">
      <c r="B285" s="152"/>
      <c r="D285" s="145" t="s">
        <v>249</v>
      </c>
      <c r="E285" s="153" t="s">
        <v>19</v>
      </c>
      <c r="F285" s="154" t="s">
        <v>1132</v>
      </c>
      <c r="H285" s="155">
        <v>2.925</v>
      </c>
      <c r="I285" s="156"/>
      <c r="L285" s="152"/>
      <c r="M285" s="157"/>
      <c r="T285" s="158"/>
      <c r="AT285" s="153" t="s">
        <v>249</v>
      </c>
      <c r="AU285" s="153" t="s">
        <v>86</v>
      </c>
      <c r="AV285" s="12" t="s">
        <v>86</v>
      </c>
      <c r="AW285" s="12" t="s">
        <v>37</v>
      </c>
      <c r="AX285" s="12" t="s">
        <v>76</v>
      </c>
      <c r="AY285" s="153" t="s">
        <v>144</v>
      </c>
    </row>
    <row r="286" spans="2:51" s="12" customFormat="1" ht="12">
      <c r="B286" s="152"/>
      <c r="D286" s="145" t="s">
        <v>249</v>
      </c>
      <c r="E286" s="153" t="s">
        <v>19</v>
      </c>
      <c r="F286" s="154" t="s">
        <v>1133</v>
      </c>
      <c r="H286" s="155">
        <v>116.44</v>
      </c>
      <c r="I286" s="156"/>
      <c r="L286" s="152"/>
      <c r="M286" s="157"/>
      <c r="T286" s="158"/>
      <c r="AT286" s="153" t="s">
        <v>249</v>
      </c>
      <c r="AU286" s="153" t="s">
        <v>86</v>
      </c>
      <c r="AV286" s="12" t="s">
        <v>86</v>
      </c>
      <c r="AW286" s="12" t="s">
        <v>37</v>
      </c>
      <c r="AX286" s="12" t="s">
        <v>76</v>
      </c>
      <c r="AY286" s="153" t="s">
        <v>144</v>
      </c>
    </row>
    <row r="287" spans="2:51" s="13" customFormat="1" ht="12">
      <c r="B287" s="159"/>
      <c r="D287" s="145" t="s">
        <v>249</v>
      </c>
      <c r="E287" s="160" t="s">
        <v>19</v>
      </c>
      <c r="F287" s="161" t="s">
        <v>251</v>
      </c>
      <c r="H287" s="162">
        <v>202.53</v>
      </c>
      <c r="I287" s="163"/>
      <c r="L287" s="159"/>
      <c r="M287" s="164"/>
      <c r="T287" s="165"/>
      <c r="AT287" s="160" t="s">
        <v>249</v>
      </c>
      <c r="AU287" s="160" t="s">
        <v>86</v>
      </c>
      <c r="AV287" s="13" t="s">
        <v>166</v>
      </c>
      <c r="AW287" s="13" t="s">
        <v>37</v>
      </c>
      <c r="AX287" s="13" t="s">
        <v>84</v>
      </c>
      <c r="AY287" s="160" t="s">
        <v>144</v>
      </c>
    </row>
    <row r="288" spans="2:65" s="1" customFormat="1" ht="36.6" customHeight="1">
      <c r="B288" s="33"/>
      <c r="C288" s="128" t="s">
        <v>540</v>
      </c>
      <c r="D288" s="128" t="s">
        <v>147</v>
      </c>
      <c r="E288" s="129" t="s">
        <v>907</v>
      </c>
      <c r="F288" s="130" t="s">
        <v>893</v>
      </c>
      <c r="G288" s="131" t="s">
        <v>413</v>
      </c>
      <c r="H288" s="132">
        <v>3848.07</v>
      </c>
      <c r="I288" s="133"/>
      <c r="J288" s="134">
        <f>ROUND(I288*H288,2)</f>
        <v>0</v>
      </c>
      <c r="K288" s="130" t="s">
        <v>151</v>
      </c>
      <c r="L288" s="33"/>
      <c r="M288" s="135" t="s">
        <v>19</v>
      </c>
      <c r="N288" s="136" t="s">
        <v>47</v>
      </c>
      <c r="P288" s="137">
        <f>O288*H288</f>
        <v>0</v>
      </c>
      <c r="Q288" s="137">
        <v>0</v>
      </c>
      <c r="R288" s="137">
        <f>Q288*H288</f>
        <v>0</v>
      </c>
      <c r="S288" s="137">
        <v>0</v>
      </c>
      <c r="T288" s="138">
        <f>S288*H288</f>
        <v>0</v>
      </c>
      <c r="AR288" s="139" t="s">
        <v>166</v>
      </c>
      <c r="AT288" s="139" t="s">
        <v>147</v>
      </c>
      <c r="AU288" s="139" t="s">
        <v>86</v>
      </c>
      <c r="AY288" s="18" t="s">
        <v>144</v>
      </c>
      <c r="BE288" s="140">
        <f>IF(N288="základní",J288,0)</f>
        <v>0</v>
      </c>
      <c r="BF288" s="140">
        <f>IF(N288="snížená",J288,0)</f>
        <v>0</v>
      </c>
      <c r="BG288" s="140">
        <f>IF(N288="zákl. přenesená",J288,0)</f>
        <v>0</v>
      </c>
      <c r="BH288" s="140">
        <f>IF(N288="sníž. přenesená",J288,0)</f>
        <v>0</v>
      </c>
      <c r="BI288" s="140">
        <f>IF(N288="nulová",J288,0)</f>
        <v>0</v>
      </c>
      <c r="BJ288" s="18" t="s">
        <v>84</v>
      </c>
      <c r="BK288" s="140">
        <f>ROUND(I288*H288,2)</f>
        <v>0</v>
      </c>
      <c r="BL288" s="18" t="s">
        <v>166</v>
      </c>
      <c r="BM288" s="139" t="s">
        <v>1134</v>
      </c>
    </row>
    <row r="289" spans="2:47" s="1" customFormat="1" ht="12">
      <c r="B289" s="33"/>
      <c r="D289" s="141" t="s">
        <v>154</v>
      </c>
      <c r="F289" s="142" t="s">
        <v>909</v>
      </c>
      <c r="I289" s="143"/>
      <c r="L289" s="33"/>
      <c r="M289" s="144"/>
      <c r="T289" s="54"/>
      <c r="AT289" s="18" t="s">
        <v>154</v>
      </c>
      <c r="AU289" s="18" t="s">
        <v>86</v>
      </c>
    </row>
    <row r="290" spans="2:51" s="12" customFormat="1" ht="12">
      <c r="B290" s="152"/>
      <c r="D290" s="145" t="s">
        <v>249</v>
      </c>
      <c r="F290" s="154" t="s">
        <v>1135</v>
      </c>
      <c r="H290" s="155">
        <v>3848.07</v>
      </c>
      <c r="I290" s="156"/>
      <c r="L290" s="152"/>
      <c r="M290" s="157"/>
      <c r="T290" s="158"/>
      <c r="AT290" s="153" t="s">
        <v>249</v>
      </c>
      <c r="AU290" s="153" t="s">
        <v>86</v>
      </c>
      <c r="AV290" s="12" t="s">
        <v>86</v>
      </c>
      <c r="AW290" s="12" t="s">
        <v>4</v>
      </c>
      <c r="AX290" s="12" t="s">
        <v>84</v>
      </c>
      <c r="AY290" s="153" t="s">
        <v>144</v>
      </c>
    </row>
    <row r="291" spans="2:65" s="1" customFormat="1" ht="23.7" customHeight="1">
      <c r="B291" s="33"/>
      <c r="C291" s="128" t="s">
        <v>545</v>
      </c>
      <c r="D291" s="128" t="s">
        <v>147</v>
      </c>
      <c r="E291" s="129" t="s">
        <v>1136</v>
      </c>
      <c r="F291" s="130" t="s">
        <v>1137</v>
      </c>
      <c r="G291" s="131" t="s">
        <v>413</v>
      </c>
      <c r="H291" s="132">
        <v>594.67</v>
      </c>
      <c r="I291" s="133"/>
      <c r="J291" s="134">
        <f>ROUND(I291*H291,2)</f>
        <v>0</v>
      </c>
      <c r="K291" s="130" t="s">
        <v>151</v>
      </c>
      <c r="L291" s="33"/>
      <c r="M291" s="135" t="s">
        <v>19</v>
      </c>
      <c r="N291" s="136" t="s">
        <v>47</v>
      </c>
      <c r="P291" s="137">
        <f>O291*H291</f>
        <v>0</v>
      </c>
      <c r="Q291" s="137">
        <v>0</v>
      </c>
      <c r="R291" s="137">
        <f>Q291*H291</f>
        <v>0</v>
      </c>
      <c r="S291" s="137">
        <v>0</v>
      </c>
      <c r="T291" s="138">
        <f>S291*H291</f>
        <v>0</v>
      </c>
      <c r="AR291" s="139" t="s">
        <v>166</v>
      </c>
      <c r="AT291" s="139" t="s">
        <v>147</v>
      </c>
      <c r="AU291" s="139" t="s">
        <v>86</v>
      </c>
      <c r="AY291" s="18" t="s">
        <v>144</v>
      </c>
      <c r="BE291" s="140">
        <f>IF(N291="základní",J291,0)</f>
        <v>0</v>
      </c>
      <c r="BF291" s="140">
        <f>IF(N291="snížená",J291,0)</f>
        <v>0</v>
      </c>
      <c r="BG291" s="140">
        <f>IF(N291="zákl. přenesená",J291,0)</f>
        <v>0</v>
      </c>
      <c r="BH291" s="140">
        <f>IF(N291="sníž. přenesená",J291,0)</f>
        <v>0</v>
      </c>
      <c r="BI291" s="140">
        <f>IF(N291="nulová",J291,0)</f>
        <v>0</v>
      </c>
      <c r="BJ291" s="18" t="s">
        <v>84</v>
      </c>
      <c r="BK291" s="140">
        <f>ROUND(I291*H291,2)</f>
        <v>0</v>
      </c>
      <c r="BL291" s="18" t="s">
        <v>166</v>
      </c>
      <c r="BM291" s="139" t="s">
        <v>1138</v>
      </c>
    </row>
    <row r="292" spans="2:47" s="1" customFormat="1" ht="12">
      <c r="B292" s="33"/>
      <c r="D292" s="141" t="s">
        <v>154</v>
      </c>
      <c r="F292" s="142" t="s">
        <v>1139</v>
      </c>
      <c r="I292" s="143"/>
      <c r="L292" s="33"/>
      <c r="M292" s="144"/>
      <c r="T292" s="54"/>
      <c r="AT292" s="18" t="s">
        <v>154</v>
      </c>
      <c r="AU292" s="18" t="s">
        <v>86</v>
      </c>
    </row>
    <row r="293" spans="2:51" s="12" customFormat="1" ht="20.4">
      <c r="B293" s="152"/>
      <c r="D293" s="145" t="s">
        <v>249</v>
      </c>
      <c r="E293" s="153" t="s">
        <v>19</v>
      </c>
      <c r="F293" s="154" t="s">
        <v>1140</v>
      </c>
      <c r="H293" s="155">
        <v>358.98</v>
      </c>
      <c r="I293" s="156"/>
      <c r="L293" s="152"/>
      <c r="M293" s="157"/>
      <c r="T293" s="158"/>
      <c r="AT293" s="153" t="s">
        <v>249</v>
      </c>
      <c r="AU293" s="153" t="s">
        <v>86</v>
      </c>
      <c r="AV293" s="12" t="s">
        <v>86</v>
      </c>
      <c r="AW293" s="12" t="s">
        <v>37</v>
      </c>
      <c r="AX293" s="12" t="s">
        <v>76</v>
      </c>
      <c r="AY293" s="153" t="s">
        <v>144</v>
      </c>
    </row>
    <row r="294" spans="2:51" s="12" customFormat="1" ht="30.6">
      <c r="B294" s="152"/>
      <c r="D294" s="145" t="s">
        <v>249</v>
      </c>
      <c r="E294" s="153" t="s">
        <v>19</v>
      </c>
      <c r="F294" s="154" t="s">
        <v>1141</v>
      </c>
      <c r="H294" s="155">
        <v>235.69</v>
      </c>
      <c r="I294" s="156"/>
      <c r="L294" s="152"/>
      <c r="M294" s="157"/>
      <c r="T294" s="158"/>
      <c r="AT294" s="153" t="s">
        <v>249</v>
      </c>
      <c r="AU294" s="153" t="s">
        <v>86</v>
      </c>
      <c r="AV294" s="12" t="s">
        <v>86</v>
      </c>
      <c r="AW294" s="12" t="s">
        <v>37</v>
      </c>
      <c r="AX294" s="12" t="s">
        <v>76</v>
      </c>
      <c r="AY294" s="153" t="s">
        <v>144</v>
      </c>
    </row>
    <row r="295" spans="2:51" s="13" customFormat="1" ht="12">
      <c r="B295" s="159"/>
      <c r="D295" s="145" t="s">
        <v>249</v>
      </c>
      <c r="E295" s="160" t="s">
        <v>19</v>
      </c>
      <c r="F295" s="161" t="s">
        <v>251</v>
      </c>
      <c r="H295" s="162">
        <v>594.67</v>
      </c>
      <c r="I295" s="163"/>
      <c r="L295" s="159"/>
      <c r="M295" s="164"/>
      <c r="T295" s="165"/>
      <c r="AT295" s="160" t="s">
        <v>249</v>
      </c>
      <c r="AU295" s="160" t="s">
        <v>86</v>
      </c>
      <c r="AV295" s="13" t="s">
        <v>166</v>
      </c>
      <c r="AW295" s="13" t="s">
        <v>37</v>
      </c>
      <c r="AX295" s="13" t="s">
        <v>84</v>
      </c>
      <c r="AY295" s="160" t="s">
        <v>144</v>
      </c>
    </row>
    <row r="296" spans="2:65" s="1" customFormat="1" ht="42.6" customHeight="1">
      <c r="B296" s="33"/>
      <c r="C296" s="128" t="s">
        <v>550</v>
      </c>
      <c r="D296" s="128" t="s">
        <v>147</v>
      </c>
      <c r="E296" s="129" t="s">
        <v>912</v>
      </c>
      <c r="F296" s="130" t="s">
        <v>913</v>
      </c>
      <c r="G296" s="131" t="s">
        <v>413</v>
      </c>
      <c r="H296" s="132">
        <v>202.53</v>
      </c>
      <c r="I296" s="133"/>
      <c r="J296" s="134">
        <f>ROUND(I296*H296,2)</f>
        <v>0</v>
      </c>
      <c r="K296" s="130" t="s">
        <v>151</v>
      </c>
      <c r="L296" s="33"/>
      <c r="M296" s="135" t="s">
        <v>19</v>
      </c>
      <c r="N296" s="136" t="s">
        <v>47</v>
      </c>
      <c r="P296" s="137">
        <f>O296*H296</f>
        <v>0</v>
      </c>
      <c r="Q296" s="137">
        <v>0</v>
      </c>
      <c r="R296" s="137">
        <f>Q296*H296</f>
        <v>0</v>
      </c>
      <c r="S296" s="137">
        <v>0</v>
      </c>
      <c r="T296" s="138">
        <f>S296*H296</f>
        <v>0</v>
      </c>
      <c r="AR296" s="139" t="s">
        <v>166</v>
      </c>
      <c r="AT296" s="139" t="s">
        <v>147</v>
      </c>
      <c r="AU296" s="139" t="s">
        <v>86</v>
      </c>
      <c r="AY296" s="18" t="s">
        <v>144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8" t="s">
        <v>84</v>
      </c>
      <c r="BK296" s="140">
        <f>ROUND(I296*H296,2)</f>
        <v>0</v>
      </c>
      <c r="BL296" s="18" t="s">
        <v>166</v>
      </c>
      <c r="BM296" s="139" t="s">
        <v>1142</v>
      </c>
    </row>
    <row r="297" spans="2:47" s="1" customFormat="1" ht="12">
      <c r="B297" s="33"/>
      <c r="D297" s="141" t="s">
        <v>154</v>
      </c>
      <c r="F297" s="142" t="s">
        <v>915</v>
      </c>
      <c r="I297" s="143"/>
      <c r="L297" s="33"/>
      <c r="M297" s="144"/>
      <c r="T297" s="54"/>
      <c r="AT297" s="18" t="s">
        <v>154</v>
      </c>
      <c r="AU297" s="18" t="s">
        <v>86</v>
      </c>
    </row>
    <row r="298" spans="2:51" s="12" customFormat="1" ht="12">
      <c r="B298" s="152"/>
      <c r="D298" s="145" t="s">
        <v>249</v>
      </c>
      <c r="E298" s="153" t="s">
        <v>19</v>
      </c>
      <c r="F298" s="154" t="s">
        <v>1130</v>
      </c>
      <c r="H298" s="155">
        <v>61.965</v>
      </c>
      <c r="I298" s="156"/>
      <c r="L298" s="152"/>
      <c r="M298" s="157"/>
      <c r="T298" s="158"/>
      <c r="AT298" s="153" t="s">
        <v>249</v>
      </c>
      <c r="AU298" s="153" t="s">
        <v>86</v>
      </c>
      <c r="AV298" s="12" t="s">
        <v>86</v>
      </c>
      <c r="AW298" s="12" t="s">
        <v>37</v>
      </c>
      <c r="AX298" s="12" t="s">
        <v>76</v>
      </c>
      <c r="AY298" s="153" t="s">
        <v>144</v>
      </c>
    </row>
    <row r="299" spans="2:51" s="12" customFormat="1" ht="12">
      <c r="B299" s="152"/>
      <c r="D299" s="145" t="s">
        <v>249</v>
      </c>
      <c r="E299" s="153" t="s">
        <v>19</v>
      </c>
      <c r="F299" s="154" t="s">
        <v>1131</v>
      </c>
      <c r="H299" s="155">
        <v>21.2</v>
      </c>
      <c r="I299" s="156"/>
      <c r="L299" s="152"/>
      <c r="M299" s="157"/>
      <c r="T299" s="158"/>
      <c r="AT299" s="153" t="s">
        <v>249</v>
      </c>
      <c r="AU299" s="153" t="s">
        <v>86</v>
      </c>
      <c r="AV299" s="12" t="s">
        <v>86</v>
      </c>
      <c r="AW299" s="12" t="s">
        <v>37</v>
      </c>
      <c r="AX299" s="12" t="s">
        <v>76</v>
      </c>
      <c r="AY299" s="153" t="s">
        <v>144</v>
      </c>
    </row>
    <row r="300" spans="2:51" s="12" customFormat="1" ht="12">
      <c r="B300" s="152"/>
      <c r="D300" s="145" t="s">
        <v>249</v>
      </c>
      <c r="E300" s="153" t="s">
        <v>19</v>
      </c>
      <c r="F300" s="154" t="s">
        <v>1132</v>
      </c>
      <c r="H300" s="155">
        <v>2.925</v>
      </c>
      <c r="I300" s="156"/>
      <c r="L300" s="152"/>
      <c r="M300" s="157"/>
      <c r="T300" s="158"/>
      <c r="AT300" s="153" t="s">
        <v>249</v>
      </c>
      <c r="AU300" s="153" t="s">
        <v>86</v>
      </c>
      <c r="AV300" s="12" t="s">
        <v>86</v>
      </c>
      <c r="AW300" s="12" t="s">
        <v>37</v>
      </c>
      <c r="AX300" s="12" t="s">
        <v>76</v>
      </c>
      <c r="AY300" s="153" t="s">
        <v>144</v>
      </c>
    </row>
    <row r="301" spans="2:51" s="12" customFormat="1" ht="12">
      <c r="B301" s="152"/>
      <c r="D301" s="145" t="s">
        <v>249</v>
      </c>
      <c r="E301" s="153" t="s">
        <v>19</v>
      </c>
      <c r="F301" s="154" t="s">
        <v>1133</v>
      </c>
      <c r="H301" s="155">
        <v>116.44</v>
      </c>
      <c r="I301" s="156"/>
      <c r="L301" s="152"/>
      <c r="M301" s="157"/>
      <c r="T301" s="158"/>
      <c r="AT301" s="153" t="s">
        <v>249</v>
      </c>
      <c r="AU301" s="153" t="s">
        <v>86</v>
      </c>
      <c r="AV301" s="12" t="s">
        <v>86</v>
      </c>
      <c r="AW301" s="12" t="s">
        <v>37</v>
      </c>
      <c r="AX301" s="12" t="s">
        <v>76</v>
      </c>
      <c r="AY301" s="153" t="s">
        <v>144</v>
      </c>
    </row>
    <row r="302" spans="2:51" s="13" customFormat="1" ht="12">
      <c r="B302" s="159"/>
      <c r="D302" s="145" t="s">
        <v>249</v>
      </c>
      <c r="E302" s="160" t="s">
        <v>19</v>
      </c>
      <c r="F302" s="161" t="s">
        <v>251</v>
      </c>
      <c r="H302" s="162">
        <v>202.53</v>
      </c>
      <c r="I302" s="163"/>
      <c r="L302" s="159"/>
      <c r="M302" s="164"/>
      <c r="T302" s="165"/>
      <c r="AT302" s="160" t="s">
        <v>249</v>
      </c>
      <c r="AU302" s="160" t="s">
        <v>86</v>
      </c>
      <c r="AV302" s="13" t="s">
        <v>166</v>
      </c>
      <c r="AW302" s="13" t="s">
        <v>37</v>
      </c>
      <c r="AX302" s="13" t="s">
        <v>84</v>
      </c>
      <c r="AY302" s="160" t="s">
        <v>144</v>
      </c>
    </row>
    <row r="303" spans="2:65" s="1" customFormat="1" ht="42.6" customHeight="1">
      <c r="B303" s="33"/>
      <c r="C303" s="128" t="s">
        <v>554</v>
      </c>
      <c r="D303" s="128" t="s">
        <v>147</v>
      </c>
      <c r="E303" s="129" t="s">
        <v>920</v>
      </c>
      <c r="F303" s="130" t="s">
        <v>921</v>
      </c>
      <c r="G303" s="131" t="s">
        <v>413</v>
      </c>
      <c r="H303" s="132">
        <v>238.72</v>
      </c>
      <c r="I303" s="133"/>
      <c r="J303" s="134">
        <f>ROUND(I303*H303,2)</f>
        <v>0</v>
      </c>
      <c r="K303" s="130" t="s">
        <v>151</v>
      </c>
      <c r="L303" s="33"/>
      <c r="M303" s="135" t="s">
        <v>19</v>
      </c>
      <c r="N303" s="136" t="s">
        <v>47</v>
      </c>
      <c r="P303" s="137">
        <f>O303*H303</f>
        <v>0</v>
      </c>
      <c r="Q303" s="137">
        <v>0</v>
      </c>
      <c r="R303" s="137">
        <f>Q303*H303</f>
        <v>0</v>
      </c>
      <c r="S303" s="137">
        <v>0</v>
      </c>
      <c r="T303" s="138">
        <f>S303*H303</f>
        <v>0</v>
      </c>
      <c r="AR303" s="139" t="s">
        <v>166</v>
      </c>
      <c r="AT303" s="139" t="s">
        <v>147</v>
      </c>
      <c r="AU303" s="139" t="s">
        <v>86</v>
      </c>
      <c r="AY303" s="18" t="s">
        <v>144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8" t="s">
        <v>84</v>
      </c>
      <c r="BK303" s="140">
        <f>ROUND(I303*H303,2)</f>
        <v>0</v>
      </c>
      <c r="BL303" s="18" t="s">
        <v>166</v>
      </c>
      <c r="BM303" s="139" t="s">
        <v>1143</v>
      </c>
    </row>
    <row r="304" spans="2:47" s="1" customFormat="1" ht="12">
      <c r="B304" s="33"/>
      <c r="D304" s="141" t="s">
        <v>154</v>
      </c>
      <c r="F304" s="142" t="s">
        <v>923</v>
      </c>
      <c r="I304" s="143"/>
      <c r="L304" s="33"/>
      <c r="M304" s="144"/>
      <c r="T304" s="54"/>
      <c r="AT304" s="18" t="s">
        <v>154</v>
      </c>
      <c r="AU304" s="18" t="s">
        <v>86</v>
      </c>
    </row>
    <row r="305" spans="2:51" s="12" customFormat="1" ht="20.4">
      <c r="B305" s="152"/>
      <c r="D305" s="145" t="s">
        <v>249</v>
      </c>
      <c r="E305" s="153" t="s">
        <v>19</v>
      </c>
      <c r="F305" s="154" t="s">
        <v>999</v>
      </c>
      <c r="H305" s="155">
        <v>149.2</v>
      </c>
      <c r="I305" s="156"/>
      <c r="L305" s="152"/>
      <c r="M305" s="157"/>
      <c r="T305" s="158"/>
      <c r="AT305" s="153" t="s">
        <v>249</v>
      </c>
      <c r="AU305" s="153" t="s">
        <v>86</v>
      </c>
      <c r="AV305" s="12" t="s">
        <v>86</v>
      </c>
      <c r="AW305" s="12" t="s">
        <v>37</v>
      </c>
      <c r="AX305" s="12" t="s">
        <v>76</v>
      </c>
      <c r="AY305" s="153" t="s">
        <v>144</v>
      </c>
    </row>
    <row r="306" spans="2:51" s="13" customFormat="1" ht="12">
      <c r="B306" s="159"/>
      <c r="D306" s="145" t="s">
        <v>249</v>
      </c>
      <c r="E306" s="160" t="s">
        <v>19</v>
      </c>
      <c r="F306" s="161" t="s">
        <v>251</v>
      </c>
      <c r="H306" s="162">
        <v>149.2</v>
      </c>
      <c r="I306" s="163"/>
      <c r="L306" s="159"/>
      <c r="M306" s="164"/>
      <c r="T306" s="165"/>
      <c r="AT306" s="160" t="s">
        <v>249</v>
      </c>
      <c r="AU306" s="160" t="s">
        <v>86</v>
      </c>
      <c r="AV306" s="13" t="s">
        <v>166</v>
      </c>
      <c r="AW306" s="13" t="s">
        <v>37</v>
      </c>
      <c r="AX306" s="13" t="s">
        <v>84</v>
      </c>
      <c r="AY306" s="160" t="s">
        <v>144</v>
      </c>
    </row>
    <row r="307" spans="2:51" s="12" customFormat="1" ht="12">
      <c r="B307" s="152"/>
      <c r="D307" s="145" t="s">
        <v>249</v>
      </c>
      <c r="F307" s="154" t="s">
        <v>1144</v>
      </c>
      <c r="H307" s="155">
        <v>238.72</v>
      </c>
      <c r="I307" s="156"/>
      <c r="L307" s="152"/>
      <c r="M307" s="157"/>
      <c r="T307" s="158"/>
      <c r="AT307" s="153" t="s">
        <v>249</v>
      </c>
      <c r="AU307" s="153" t="s">
        <v>86</v>
      </c>
      <c r="AV307" s="12" t="s">
        <v>86</v>
      </c>
      <c r="AW307" s="12" t="s">
        <v>4</v>
      </c>
      <c r="AX307" s="12" t="s">
        <v>84</v>
      </c>
      <c r="AY307" s="153" t="s">
        <v>144</v>
      </c>
    </row>
    <row r="308" spans="2:65" s="1" customFormat="1" ht="42.6" customHeight="1">
      <c r="B308" s="33"/>
      <c r="C308" s="128" t="s">
        <v>560</v>
      </c>
      <c r="D308" s="128" t="s">
        <v>147</v>
      </c>
      <c r="E308" s="129" t="s">
        <v>926</v>
      </c>
      <c r="F308" s="130" t="s">
        <v>927</v>
      </c>
      <c r="G308" s="131" t="s">
        <v>413</v>
      </c>
      <c r="H308" s="132">
        <v>131.334</v>
      </c>
      <c r="I308" s="133"/>
      <c r="J308" s="134">
        <f>ROUND(I308*H308,2)</f>
        <v>0</v>
      </c>
      <c r="K308" s="130" t="s">
        <v>151</v>
      </c>
      <c r="L308" s="33"/>
      <c r="M308" s="135" t="s">
        <v>19</v>
      </c>
      <c r="N308" s="136" t="s">
        <v>47</v>
      </c>
      <c r="P308" s="137">
        <f>O308*H308</f>
        <v>0</v>
      </c>
      <c r="Q308" s="137">
        <v>0</v>
      </c>
      <c r="R308" s="137">
        <f>Q308*H308</f>
        <v>0</v>
      </c>
      <c r="S308" s="137">
        <v>0</v>
      </c>
      <c r="T308" s="138">
        <f>S308*H308</f>
        <v>0</v>
      </c>
      <c r="AR308" s="139" t="s">
        <v>166</v>
      </c>
      <c r="AT308" s="139" t="s">
        <v>147</v>
      </c>
      <c r="AU308" s="139" t="s">
        <v>86</v>
      </c>
      <c r="AY308" s="18" t="s">
        <v>144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8" t="s">
        <v>84</v>
      </c>
      <c r="BK308" s="140">
        <f>ROUND(I308*H308,2)</f>
        <v>0</v>
      </c>
      <c r="BL308" s="18" t="s">
        <v>166</v>
      </c>
      <c r="BM308" s="139" t="s">
        <v>1145</v>
      </c>
    </row>
    <row r="309" spans="2:47" s="1" customFormat="1" ht="12">
      <c r="B309" s="33"/>
      <c r="D309" s="141" t="s">
        <v>154</v>
      </c>
      <c r="F309" s="142" t="s">
        <v>929</v>
      </c>
      <c r="I309" s="143"/>
      <c r="L309" s="33"/>
      <c r="M309" s="144"/>
      <c r="T309" s="54"/>
      <c r="AT309" s="18" t="s">
        <v>154</v>
      </c>
      <c r="AU309" s="18" t="s">
        <v>86</v>
      </c>
    </row>
    <row r="310" spans="2:51" s="12" customFormat="1" ht="20.4">
      <c r="B310" s="152"/>
      <c r="D310" s="145" t="s">
        <v>249</v>
      </c>
      <c r="E310" s="153" t="s">
        <v>19</v>
      </c>
      <c r="F310" s="154" t="s">
        <v>1125</v>
      </c>
      <c r="H310" s="155">
        <v>40.474</v>
      </c>
      <c r="I310" s="156"/>
      <c r="L310" s="152"/>
      <c r="M310" s="157"/>
      <c r="T310" s="158"/>
      <c r="AT310" s="153" t="s">
        <v>249</v>
      </c>
      <c r="AU310" s="153" t="s">
        <v>86</v>
      </c>
      <c r="AV310" s="12" t="s">
        <v>86</v>
      </c>
      <c r="AW310" s="12" t="s">
        <v>37</v>
      </c>
      <c r="AX310" s="12" t="s">
        <v>76</v>
      </c>
      <c r="AY310" s="153" t="s">
        <v>144</v>
      </c>
    </row>
    <row r="311" spans="2:51" s="12" customFormat="1" ht="20.4">
      <c r="B311" s="152"/>
      <c r="D311" s="145" t="s">
        <v>249</v>
      </c>
      <c r="E311" s="153" t="s">
        <v>19</v>
      </c>
      <c r="F311" s="154" t="s">
        <v>1126</v>
      </c>
      <c r="H311" s="155">
        <v>90.86</v>
      </c>
      <c r="I311" s="156"/>
      <c r="L311" s="152"/>
      <c r="M311" s="157"/>
      <c r="T311" s="158"/>
      <c r="AT311" s="153" t="s">
        <v>249</v>
      </c>
      <c r="AU311" s="153" t="s">
        <v>86</v>
      </c>
      <c r="AV311" s="12" t="s">
        <v>86</v>
      </c>
      <c r="AW311" s="12" t="s">
        <v>37</v>
      </c>
      <c r="AX311" s="12" t="s">
        <v>76</v>
      </c>
      <c r="AY311" s="153" t="s">
        <v>144</v>
      </c>
    </row>
    <row r="312" spans="2:51" s="13" customFormat="1" ht="12">
      <c r="B312" s="159"/>
      <c r="D312" s="145" t="s">
        <v>249</v>
      </c>
      <c r="E312" s="160" t="s">
        <v>19</v>
      </c>
      <c r="F312" s="161" t="s">
        <v>251</v>
      </c>
      <c r="H312" s="162">
        <v>131.334</v>
      </c>
      <c r="I312" s="163"/>
      <c r="L312" s="159"/>
      <c r="M312" s="164"/>
      <c r="T312" s="165"/>
      <c r="AT312" s="160" t="s">
        <v>249</v>
      </c>
      <c r="AU312" s="160" t="s">
        <v>86</v>
      </c>
      <c r="AV312" s="13" t="s">
        <v>166</v>
      </c>
      <c r="AW312" s="13" t="s">
        <v>37</v>
      </c>
      <c r="AX312" s="13" t="s">
        <v>84</v>
      </c>
      <c r="AY312" s="160" t="s">
        <v>144</v>
      </c>
    </row>
    <row r="313" spans="2:63" s="11" customFormat="1" ht="22.8" customHeight="1">
      <c r="B313" s="116"/>
      <c r="D313" s="117" t="s">
        <v>75</v>
      </c>
      <c r="E313" s="126" t="s">
        <v>930</v>
      </c>
      <c r="F313" s="126" t="s">
        <v>931</v>
      </c>
      <c r="I313" s="119"/>
      <c r="J313" s="127">
        <f>BK313</f>
        <v>0</v>
      </c>
      <c r="L313" s="116"/>
      <c r="M313" s="121"/>
      <c r="P313" s="122">
        <f>SUM(P314:P315)</f>
        <v>0</v>
      </c>
      <c r="R313" s="122">
        <f>SUM(R314:R315)</f>
        <v>0</v>
      </c>
      <c r="T313" s="123">
        <f>SUM(T314:T315)</f>
        <v>0</v>
      </c>
      <c r="AR313" s="117" t="s">
        <v>84</v>
      </c>
      <c r="AT313" s="124" t="s">
        <v>75</v>
      </c>
      <c r="AU313" s="124" t="s">
        <v>84</v>
      </c>
      <c r="AY313" s="117" t="s">
        <v>144</v>
      </c>
      <c r="BK313" s="125">
        <f>SUM(BK314:BK315)</f>
        <v>0</v>
      </c>
    </row>
    <row r="314" spans="2:65" s="1" customFormat="1" ht="36.6" customHeight="1">
      <c r="B314" s="33"/>
      <c r="C314" s="128" t="s">
        <v>564</v>
      </c>
      <c r="D314" s="128" t="s">
        <v>147</v>
      </c>
      <c r="E314" s="129" t="s">
        <v>933</v>
      </c>
      <c r="F314" s="130" t="s">
        <v>934</v>
      </c>
      <c r="G314" s="131" t="s">
        <v>413</v>
      </c>
      <c r="H314" s="132">
        <v>464.947</v>
      </c>
      <c r="I314" s="133"/>
      <c r="J314" s="134">
        <f>ROUND(I314*H314,2)</f>
        <v>0</v>
      </c>
      <c r="K314" s="130" t="s">
        <v>151</v>
      </c>
      <c r="L314" s="33"/>
      <c r="M314" s="135" t="s">
        <v>19</v>
      </c>
      <c r="N314" s="136" t="s">
        <v>47</v>
      </c>
      <c r="P314" s="137">
        <f>O314*H314</f>
        <v>0</v>
      </c>
      <c r="Q314" s="137">
        <v>0</v>
      </c>
      <c r="R314" s="137">
        <f>Q314*H314</f>
        <v>0</v>
      </c>
      <c r="S314" s="137">
        <v>0</v>
      </c>
      <c r="T314" s="138">
        <f>S314*H314</f>
        <v>0</v>
      </c>
      <c r="AR314" s="139" t="s">
        <v>166</v>
      </c>
      <c r="AT314" s="139" t="s">
        <v>147</v>
      </c>
      <c r="AU314" s="139" t="s">
        <v>86</v>
      </c>
      <c r="AY314" s="18" t="s">
        <v>144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8" t="s">
        <v>84</v>
      </c>
      <c r="BK314" s="140">
        <f>ROUND(I314*H314,2)</f>
        <v>0</v>
      </c>
      <c r="BL314" s="18" t="s">
        <v>166</v>
      </c>
      <c r="BM314" s="139" t="s">
        <v>1146</v>
      </c>
    </row>
    <row r="315" spans="2:47" s="1" customFormat="1" ht="12">
      <c r="B315" s="33"/>
      <c r="D315" s="141" t="s">
        <v>154</v>
      </c>
      <c r="F315" s="142" t="s">
        <v>936</v>
      </c>
      <c r="I315" s="143"/>
      <c r="L315" s="33"/>
      <c r="M315" s="192"/>
      <c r="N315" s="149"/>
      <c r="O315" s="149"/>
      <c r="P315" s="149"/>
      <c r="Q315" s="149"/>
      <c r="R315" s="149"/>
      <c r="S315" s="149"/>
      <c r="T315" s="193"/>
      <c r="AT315" s="18" t="s">
        <v>154</v>
      </c>
      <c r="AU315" s="18" t="s">
        <v>86</v>
      </c>
    </row>
    <row r="316" spans="2:12" s="1" customFormat="1" ht="6.9" customHeight="1">
      <c r="B316" s="42"/>
      <c r="C316" s="43"/>
      <c r="D316" s="43"/>
      <c r="E316" s="43"/>
      <c r="F316" s="43"/>
      <c r="G316" s="43"/>
      <c r="H316" s="43"/>
      <c r="I316" s="43"/>
      <c r="J316" s="43"/>
      <c r="K316" s="43"/>
      <c r="L316" s="33"/>
    </row>
  </sheetData>
  <sheetProtection algorithmName="SHA-512" hashValue="xQp6yB48QwF9lAWOL/YFwXB7a3K+F2UEi5wXLlo/mFMf2uoyWR9HImrPehy8DkXfe0CuJCVV9pJuWFUX5+JbKA==" saltValue="mEOaI3kqqsVLWnV8VhidKQ==" spinCount="100000" sheet="1" objects="1" scenarios="1" formatColumns="0" formatRows="0" autoFilter="0"/>
  <autoFilter ref="C87:K31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2_02/113106142"/>
    <hyperlink ref="F96" r:id="rId2" display="https://podminky.urs.cz/item/CS_URS_2022_02/113106190"/>
    <hyperlink ref="F100" r:id="rId3" display="https://podminky.urs.cz/item/CS_URS_2022_02/113107321"/>
    <hyperlink ref="F105" r:id="rId4" display="https://podminky.urs.cz/item/CS_URS_2022_02/113107322"/>
    <hyperlink ref="F110" r:id="rId5" display="https://podminky.urs.cz/item/CS_URS_2022_02/113107331"/>
    <hyperlink ref="F114" r:id="rId6" display="https://podminky.urs.cz/item/CS_URS_2022_02/113107341"/>
    <hyperlink ref="F118" r:id="rId7" display="https://podminky.urs.cz/item/CS_URS_2022_02/113107342"/>
    <hyperlink ref="F122" r:id="rId8" display="https://podminky.urs.cz/item/CS_URS_2022_02/113202111"/>
    <hyperlink ref="F124" r:id="rId9" display="https://podminky.urs.cz/item/CS_URS_2022_02/122251104"/>
    <hyperlink ref="F131" r:id="rId10" display="https://podminky.urs.cz/item/CS_URS_2022_02/132251101"/>
    <hyperlink ref="F135" r:id="rId11" display="https://podminky.urs.cz/item/CS_URS_2022_02/162351103"/>
    <hyperlink ref="F141" r:id="rId12" display="https://podminky.urs.cz/item/CS_URS_2022_02/162751117"/>
    <hyperlink ref="F145" r:id="rId13" display="https://podminky.urs.cz/item/CS_URS_2022_02/162751119"/>
    <hyperlink ref="F148" r:id="rId14" display="https://podminky.urs.cz/item/CS_URS_2022_02/167151111"/>
    <hyperlink ref="F152" r:id="rId15" display="https://podminky.urs.cz/item/CS_URS_2022_02/171151111"/>
    <hyperlink ref="F158" r:id="rId16" display="https://podminky.urs.cz/item/CS_URS_2022_02/171251201"/>
    <hyperlink ref="F163" r:id="rId17" display="https://podminky.urs.cz/item/CS_URS_2022_02/181152302"/>
    <hyperlink ref="F168" r:id="rId18" display="https://podminky.urs.cz/item/CS_URS_2022_02/271532212"/>
    <hyperlink ref="F172" r:id="rId19" display="https://podminky.urs.cz/item/CS_URS_2022_02/273321511"/>
    <hyperlink ref="F176" r:id="rId20" display="https://podminky.urs.cz/item/CS_URS_2022_02/273362021"/>
    <hyperlink ref="F179" r:id="rId21" display="https://podminky.urs.cz/item/CS_URS_2022_02/274313611"/>
    <hyperlink ref="F184" r:id="rId22" display="https://podminky.urs.cz/item/CS_URS_2022_02/339921133"/>
    <hyperlink ref="F191" r:id="rId23" display="https://podminky.urs.cz/item/CS_URS_2022_02/434121426"/>
    <hyperlink ref="F197" r:id="rId24" display="https://podminky.urs.cz/item/CS_URS_2022_02/564851111"/>
    <hyperlink ref="F204" r:id="rId25" display="https://podminky.urs.cz/item/CS_URS_2022_02/564861111"/>
    <hyperlink ref="F210" r:id="rId26" display="https://podminky.urs.cz/item/CS_URS_2022_02/567122114"/>
    <hyperlink ref="F214" r:id="rId27" display="https://podminky.urs.cz/item/CS_URS_2022_01/596211111"/>
    <hyperlink ref="F231" r:id="rId28" display="https://podminky.urs.cz/item/CS_URS_2022_02/596211212"/>
    <hyperlink ref="F245" r:id="rId29" display="https://podminky.urs.cz/item/CS_URS_2022_02/911121111"/>
    <hyperlink ref="F256" r:id="rId30" display="https://podminky.urs.cz/item/CS_URS_2022_01/916231213"/>
    <hyperlink ref="F262" r:id="rId31" display="https://podminky.urs.cz/item/CS_URS_2022_02/935112211"/>
    <hyperlink ref="F268" r:id="rId32" display="https://podminky.urs.cz/item/CS_URS_2022_02/997221551"/>
    <hyperlink ref="F274" r:id="rId33" display="https://podminky.urs.cz/item/CS_URS_2022_02/997221551"/>
    <hyperlink ref="F279" r:id="rId34" display="https://podminky.urs.cz/item/CS_URS_2022_02/997221559"/>
    <hyperlink ref="F282" r:id="rId35" display="https://podminky.urs.cz/item/CS_URS_2022_02/997221561"/>
    <hyperlink ref="F289" r:id="rId36" display="https://podminky.urs.cz/item/CS_URS_2022_02/997221569"/>
    <hyperlink ref="F292" r:id="rId37" display="https://podminky.urs.cz/item/CS_URS_2022_02/997221611"/>
    <hyperlink ref="F297" r:id="rId38" display="https://podminky.urs.cz/item/CS_URS_2022_02/997221861"/>
    <hyperlink ref="F304" r:id="rId39" display="https://podminky.urs.cz/item/CS_URS_2022_02/997221873"/>
    <hyperlink ref="F309" r:id="rId40" display="https://podminky.urs.cz/item/CS_URS_2022_02/997221875"/>
    <hyperlink ref="F315" r:id="rId41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AT2" s="18" t="s">
        <v>95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89" t="s">
        <v>1147</v>
      </c>
      <c r="F9" s="495"/>
      <c r="G9" s="495"/>
      <c r="H9" s="495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66"/>
      <c r="G18" s="466"/>
      <c r="H18" s="46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71" t="s">
        <v>19</v>
      </c>
      <c r="F27" s="471"/>
      <c r="G27" s="471"/>
      <c r="H27" s="471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ROUND(J89,2)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ROUND((SUM(BE89:BE157)),2)</f>
        <v>0</v>
      </c>
      <c r="I33" s="90">
        <v>0.21</v>
      </c>
      <c r="J33" s="89">
        <f>ROUND(((SUM(BE89:BE157))*I33),2)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ROUND((SUM(BF89:BF157)),2)</f>
        <v>0</v>
      </c>
      <c r="I34" s="90">
        <v>0.15</v>
      </c>
      <c r="J34" s="89">
        <f>ROUND(((SUM(BF89:BF157))*I34),2)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ROUND((SUM(BG89:BG157)),2)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ROUND((SUM(BH89:BH157)),2)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ROUND((SUM(BI89:BI157)),2)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89" t="str">
        <f>E9</f>
        <v>SO 200 - Opěrná stěna</v>
      </c>
      <c r="F50" s="495"/>
      <c r="G50" s="495"/>
      <c r="H50" s="495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J89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J90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J91</f>
        <v>0</v>
      </c>
      <c r="L61" s="104"/>
    </row>
    <row r="62" spans="2:12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J96</f>
        <v>0</v>
      </c>
      <c r="L62" s="104"/>
    </row>
    <row r="63" spans="2:12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J123</f>
        <v>0</v>
      </c>
      <c r="L63" s="104"/>
    </row>
    <row r="64" spans="2:12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J135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J140</f>
        <v>0</v>
      </c>
      <c r="L65" s="104"/>
    </row>
    <row r="66" spans="2:12" s="9" customFormat="1" ht="19.95" customHeight="1">
      <c r="B66" s="104"/>
      <c r="D66" s="105" t="s">
        <v>236</v>
      </c>
      <c r="E66" s="106"/>
      <c r="F66" s="106"/>
      <c r="G66" s="106"/>
      <c r="H66" s="106"/>
      <c r="I66" s="106"/>
      <c r="J66" s="107">
        <f>J143</f>
        <v>0</v>
      </c>
      <c r="L66" s="104"/>
    </row>
    <row r="67" spans="2:12" s="9" customFormat="1" ht="19.95" customHeight="1">
      <c r="B67" s="104"/>
      <c r="D67" s="105" t="s">
        <v>238</v>
      </c>
      <c r="E67" s="106"/>
      <c r="F67" s="106"/>
      <c r="G67" s="106"/>
      <c r="H67" s="106"/>
      <c r="I67" s="106"/>
      <c r="J67" s="107">
        <f>J149</f>
        <v>0</v>
      </c>
      <c r="L67" s="104"/>
    </row>
    <row r="68" spans="2:12" s="8" customFormat="1" ht="24.9" customHeight="1">
      <c r="B68" s="100"/>
      <c r="D68" s="101" t="s">
        <v>239</v>
      </c>
      <c r="E68" s="102"/>
      <c r="F68" s="102"/>
      <c r="G68" s="102"/>
      <c r="H68" s="102"/>
      <c r="I68" s="102"/>
      <c r="J68" s="103">
        <f>J152</f>
        <v>0</v>
      </c>
      <c r="L68" s="100"/>
    </row>
    <row r="69" spans="2:12" s="9" customFormat="1" ht="19.95" customHeight="1">
      <c r="B69" s="104"/>
      <c r="D69" s="105" t="s">
        <v>1148</v>
      </c>
      <c r="E69" s="106"/>
      <c r="F69" s="106"/>
      <c r="G69" s="106"/>
      <c r="H69" s="106"/>
      <c r="I69" s="106"/>
      <c r="J69" s="107">
        <f>J153</f>
        <v>0</v>
      </c>
      <c r="L69" s="104"/>
    </row>
    <row r="70" spans="2:12" s="1" customFormat="1" ht="21.75" customHeight="1">
      <c r="B70" s="33"/>
      <c r="L70" s="33"/>
    </row>
    <row r="71" spans="2:12" s="1" customFormat="1" ht="6.9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6.9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4.9" customHeight="1">
      <c r="B76" s="33"/>
      <c r="C76" s="22" t="s">
        <v>129</v>
      </c>
      <c r="L76" s="33"/>
    </row>
    <row r="77" spans="2:12" s="1" customFormat="1" ht="6.9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27" customHeight="1">
      <c r="B79" s="33"/>
      <c r="E79" s="496" t="str">
        <f>E7</f>
        <v>REGENERACE PANELOVÉHO SÍDLIŠTĚ PRIEVIDZSKÁ - 7.ETAPA</v>
      </c>
      <c r="F79" s="497"/>
      <c r="G79" s="497"/>
      <c r="H79" s="497"/>
      <c r="L79" s="33"/>
    </row>
    <row r="80" spans="2:12" s="1" customFormat="1" ht="12" customHeight="1">
      <c r="B80" s="33"/>
      <c r="C80" s="28" t="s">
        <v>118</v>
      </c>
      <c r="L80" s="33"/>
    </row>
    <row r="81" spans="2:12" s="1" customFormat="1" ht="15" customHeight="1">
      <c r="B81" s="33"/>
      <c r="E81" s="489" t="str">
        <f>E9</f>
        <v>SO 200 - Opěrná stěna</v>
      </c>
      <c r="F81" s="495"/>
      <c r="G81" s="495"/>
      <c r="H81" s="495"/>
      <c r="L81" s="33"/>
    </row>
    <row r="82" spans="2:12" s="1" customFormat="1" ht="6.9" customHeight="1">
      <c r="B82" s="33"/>
      <c r="L82" s="33"/>
    </row>
    <row r="83" spans="2:12" s="1" customFormat="1" ht="12" customHeight="1">
      <c r="B83" s="33"/>
      <c r="C83" s="28" t="s">
        <v>21</v>
      </c>
      <c r="F83" s="26" t="str">
        <f>F12</f>
        <v xml:space="preserve"> </v>
      </c>
      <c r="I83" s="28" t="s">
        <v>23</v>
      </c>
      <c r="J83" s="50" t="str">
        <f>IF(J12="","",J12)</f>
        <v>22. 10. 2022</v>
      </c>
      <c r="L83" s="33"/>
    </row>
    <row r="84" spans="2:12" s="1" customFormat="1" ht="6.9" customHeight="1">
      <c r="B84" s="33"/>
      <c r="L84" s="33"/>
    </row>
    <row r="85" spans="2:12" s="1" customFormat="1" ht="14.85" customHeight="1">
      <c r="B85" s="33"/>
      <c r="C85" s="28" t="s">
        <v>25</v>
      </c>
      <c r="F85" s="26" t="str">
        <f>E15</f>
        <v>Město Šumperk</v>
      </c>
      <c r="I85" s="28" t="s">
        <v>33</v>
      </c>
      <c r="J85" s="31" t="str">
        <f>E21</f>
        <v>Ateliér DPK, s.r.o.</v>
      </c>
      <c r="L85" s="33"/>
    </row>
    <row r="86" spans="2:12" s="1" customFormat="1" ht="14.85" customHeight="1">
      <c r="B86" s="33"/>
      <c r="C86" s="28" t="s">
        <v>31</v>
      </c>
      <c r="F86" s="26" t="str">
        <f>IF(E18="","",E18)</f>
        <v>Vyplň údaj</v>
      </c>
      <c r="I86" s="28" t="s">
        <v>38</v>
      </c>
      <c r="J86" s="31" t="str">
        <f>E24</f>
        <v xml:space="preserve"> </v>
      </c>
      <c r="L86" s="33"/>
    </row>
    <row r="87" spans="2:12" s="1" customFormat="1" ht="10.35" customHeight="1">
      <c r="B87" s="33"/>
      <c r="L87" s="33"/>
    </row>
    <row r="88" spans="2:20" s="10" customFormat="1" ht="29.25" customHeight="1">
      <c r="B88" s="108"/>
      <c r="C88" s="109" t="s">
        <v>130</v>
      </c>
      <c r="D88" s="110" t="s">
        <v>61</v>
      </c>
      <c r="E88" s="110" t="s">
        <v>57</v>
      </c>
      <c r="F88" s="110" t="s">
        <v>58</v>
      </c>
      <c r="G88" s="110" t="s">
        <v>131</v>
      </c>
      <c r="H88" s="110" t="s">
        <v>132</v>
      </c>
      <c r="I88" s="110" t="s">
        <v>133</v>
      </c>
      <c r="J88" s="110" t="s">
        <v>122</v>
      </c>
      <c r="K88" s="111" t="s">
        <v>134</v>
      </c>
      <c r="L88" s="108"/>
      <c r="M88" s="57" t="s">
        <v>19</v>
      </c>
      <c r="N88" s="58" t="s">
        <v>46</v>
      </c>
      <c r="O88" s="58" t="s">
        <v>135</v>
      </c>
      <c r="P88" s="58" t="s">
        <v>136</v>
      </c>
      <c r="Q88" s="58" t="s">
        <v>137</v>
      </c>
      <c r="R88" s="58" t="s">
        <v>138</v>
      </c>
      <c r="S88" s="58" t="s">
        <v>139</v>
      </c>
      <c r="T88" s="59" t="s">
        <v>140</v>
      </c>
    </row>
    <row r="89" spans="2:63" s="1" customFormat="1" ht="22.8" customHeight="1">
      <c r="B89" s="33"/>
      <c r="C89" s="62" t="s">
        <v>141</v>
      </c>
      <c r="J89" s="112">
        <f>BK89</f>
        <v>0</v>
      </c>
      <c r="L89" s="33"/>
      <c r="M89" s="60"/>
      <c r="N89" s="51"/>
      <c r="O89" s="51"/>
      <c r="P89" s="113">
        <f>P90+P152</f>
        <v>0</v>
      </c>
      <c r="Q89" s="51"/>
      <c r="R89" s="113">
        <f>R90+R152</f>
        <v>424.84163989999996</v>
      </c>
      <c r="S89" s="51"/>
      <c r="T89" s="114">
        <f>T90+T152</f>
        <v>0</v>
      </c>
      <c r="AT89" s="18" t="s">
        <v>75</v>
      </c>
      <c r="AU89" s="18" t="s">
        <v>123</v>
      </c>
      <c r="BK89" s="115">
        <f>BK90+BK152</f>
        <v>0</v>
      </c>
    </row>
    <row r="90" spans="2:63" s="11" customFormat="1" ht="25.8" customHeight="1">
      <c r="B90" s="116"/>
      <c r="D90" s="117" t="s">
        <v>75</v>
      </c>
      <c r="E90" s="118" t="s">
        <v>241</v>
      </c>
      <c r="F90" s="118" t="s">
        <v>242</v>
      </c>
      <c r="I90" s="119"/>
      <c r="J90" s="120">
        <f>BK90</f>
        <v>0</v>
      </c>
      <c r="L90" s="116"/>
      <c r="M90" s="121"/>
      <c r="P90" s="122">
        <f>P91+P96+P123+P135+P140+P143+P149</f>
        <v>0</v>
      </c>
      <c r="R90" s="122">
        <f>R91+R96+R123+R135+R140+R143+R149</f>
        <v>424.7756399</v>
      </c>
      <c r="T90" s="123">
        <f>T91+T96+T123+T135+T140+T143+T149</f>
        <v>0</v>
      </c>
      <c r="AR90" s="117" t="s">
        <v>84</v>
      </c>
      <c r="AT90" s="124" t="s">
        <v>75</v>
      </c>
      <c r="AU90" s="124" t="s">
        <v>76</v>
      </c>
      <c r="AY90" s="117" t="s">
        <v>144</v>
      </c>
      <c r="BK90" s="125">
        <f>BK91+BK96+BK123+BK135+BK140+BK143+BK149</f>
        <v>0</v>
      </c>
    </row>
    <row r="91" spans="2:63" s="11" customFormat="1" ht="22.8" customHeight="1">
      <c r="B91" s="116"/>
      <c r="D91" s="117" t="s">
        <v>75</v>
      </c>
      <c r="E91" s="126" t="s">
        <v>84</v>
      </c>
      <c r="F91" s="126" t="s">
        <v>243</v>
      </c>
      <c r="I91" s="119"/>
      <c r="J91" s="127">
        <f>BK91</f>
        <v>0</v>
      </c>
      <c r="L91" s="116"/>
      <c r="M91" s="121"/>
      <c r="P91" s="122">
        <f>SUM(P92:P95)</f>
        <v>0</v>
      </c>
      <c r="R91" s="122">
        <f>SUM(R92:R95)</f>
        <v>0</v>
      </c>
      <c r="T91" s="123">
        <f>SUM(T92:T95)</f>
        <v>0</v>
      </c>
      <c r="AR91" s="117" t="s">
        <v>84</v>
      </c>
      <c r="AT91" s="124" t="s">
        <v>75</v>
      </c>
      <c r="AU91" s="124" t="s">
        <v>84</v>
      </c>
      <c r="AY91" s="117" t="s">
        <v>144</v>
      </c>
      <c r="BK91" s="125">
        <f>SUM(BK92:BK95)</f>
        <v>0</v>
      </c>
    </row>
    <row r="92" spans="2:65" s="1" customFormat="1" ht="31.95" customHeight="1">
      <c r="B92" s="33"/>
      <c r="C92" s="128" t="s">
        <v>84</v>
      </c>
      <c r="D92" s="128" t="s">
        <v>147</v>
      </c>
      <c r="E92" s="129" t="s">
        <v>1149</v>
      </c>
      <c r="F92" s="130" t="s">
        <v>1150</v>
      </c>
      <c r="G92" s="131" t="s">
        <v>246</v>
      </c>
      <c r="H92" s="132">
        <v>171</v>
      </c>
      <c r="I92" s="133"/>
      <c r="J92" s="134">
        <f>ROUND(I92*H92,2)</f>
        <v>0</v>
      </c>
      <c r="K92" s="130" t="s">
        <v>151</v>
      </c>
      <c r="L92" s="33"/>
      <c r="M92" s="135" t="s">
        <v>19</v>
      </c>
      <c r="N92" s="136" t="s">
        <v>47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166</v>
      </c>
      <c r="AT92" s="139" t="s">
        <v>147</v>
      </c>
      <c r="AU92" s="139" t="s">
        <v>86</v>
      </c>
      <c r="AY92" s="18" t="s">
        <v>144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84</v>
      </c>
      <c r="BK92" s="140">
        <f>ROUND(I92*H92,2)</f>
        <v>0</v>
      </c>
      <c r="BL92" s="18" t="s">
        <v>166</v>
      </c>
      <c r="BM92" s="139" t="s">
        <v>1151</v>
      </c>
    </row>
    <row r="93" spans="2:47" s="1" customFormat="1" ht="12">
      <c r="B93" s="33"/>
      <c r="D93" s="141" t="s">
        <v>154</v>
      </c>
      <c r="F93" s="142" t="s">
        <v>1152</v>
      </c>
      <c r="I93" s="143"/>
      <c r="L93" s="33"/>
      <c r="M93" s="144"/>
      <c r="T93" s="54"/>
      <c r="AT93" s="18" t="s">
        <v>154</v>
      </c>
      <c r="AU93" s="18" t="s">
        <v>86</v>
      </c>
    </row>
    <row r="94" spans="2:51" s="12" customFormat="1" ht="12">
      <c r="B94" s="152"/>
      <c r="D94" s="145" t="s">
        <v>249</v>
      </c>
      <c r="E94" s="153" t="s">
        <v>19</v>
      </c>
      <c r="F94" s="154" t="s">
        <v>1153</v>
      </c>
      <c r="H94" s="155">
        <v>171</v>
      </c>
      <c r="I94" s="156"/>
      <c r="L94" s="152"/>
      <c r="M94" s="157"/>
      <c r="T94" s="158"/>
      <c r="AT94" s="153" t="s">
        <v>249</v>
      </c>
      <c r="AU94" s="153" t="s">
        <v>86</v>
      </c>
      <c r="AV94" s="12" t="s">
        <v>86</v>
      </c>
      <c r="AW94" s="12" t="s">
        <v>37</v>
      </c>
      <c r="AX94" s="12" t="s">
        <v>76</v>
      </c>
      <c r="AY94" s="153" t="s">
        <v>144</v>
      </c>
    </row>
    <row r="95" spans="2:51" s="13" customFormat="1" ht="12">
      <c r="B95" s="159"/>
      <c r="D95" s="145" t="s">
        <v>249</v>
      </c>
      <c r="E95" s="160" t="s">
        <v>19</v>
      </c>
      <c r="F95" s="161" t="s">
        <v>251</v>
      </c>
      <c r="H95" s="162">
        <v>171</v>
      </c>
      <c r="I95" s="163"/>
      <c r="L95" s="159"/>
      <c r="M95" s="164"/>
      <c r="T95" s="165"/>
      <c r="AT95" s="160" t="s">
        <v>249</v>
      </c>
      <c r="AU95" s="160" t="s">
        <v>86</v>
      </c>
      <c r="AV95" s="13" t="s">
        <v>166</v>
      </c>
      <c r="AW95" s="13" t="s">
        <v>37</v>
      </c>
      <c r="AX95" s="13" t="s">
        <v>84</v>
      </c>
      <c r="AY95" s="160" t="s">
        <v>144</v>
      </c>
    </row>
    <row r="96" spans="2:63" s="11" customFormat="1" ht="22.8" customHeight="1">
      <c r="B96" s="116"/>
      <c r="D96" s="117" t="s">
        <v>75</v>
      </c>
      <c r="E96" s="126" t="s">
        <v>86</v>
      </c>
      <c r="F96" s="126" t="s">
        <v>428</v>
      </c>
      <c r="I96" s="119"/>
      <c r="J96" s="127">
        <f>BK96</f>
        <v>0</v>
      </c>
      <c r="L96" s="116"/>
      <c r="M96" s="121"/>
      <c r="P96" s="122">
        <f>SUM(P97:P122)</f>
        <v>0</v>
      </c>
      <c r="R96" s="122">
        <f>SUM(R97:R122)</f>
        <v>305.3271799</v>
      </c>
      <c r="T96" s="123">
        <f>SUM(T97:T122)</f>
        <v>0</v>
      </c>
      <c r="AR96" s="117" t="s">
        <v>84</v>
      </c>
      <c r="AT96" s="124" t="s">
        <v>75</v>
      </c>
      <c r="AU96" s="124" t="s">
        <v>84</v>
      </c>
      <c r="AY96" s="117" t="s">
        <v>144</v>
      </c>
      <c r="BK96" s="125">
        <f>SUM(BK97:BK122)</f>
        <v>0</v>
      </c>
    </row>
    <row r="97" spans="2:65" s="1" customFormat="1" ht="42.6" customHeight="1">
      <c r="B97" s="33"/>
      <c r="C97" s="128" t="s">
        <v>86</v>
      </c>
      <c r="D97" s="128" t="s">
        <v>147</v>
      </c>
      <c r="E97" s="129" t="s">
        <v>430</v>
      </c>
      <c r="F97" s="130" t="s">
        <v>431</v>
      </c>
      <c r="G97" s="131" t="s">
        <v>324</v>
      </c>
      <c r="H97" s="132">
        <v>17.529</v>
      </c>
      <c r="I97" s="133"/>
      <c r="J97" s="134">
        <f>ROUND(I97*H97,2)</f>
        <v>0</v>
      </c>
      <c r="K97" s="130" t="s">
        <v>432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1154</v>
      </c>
    </row>
    <row r="98" spans="2:47" s="1" customFormat="1" ht="12">
      <c r="B98" s="33"/>
      <c r="D98" s="141" t="s">
        <v>154</v>
      </c>
      <c r="F98" s="142" t="s">
        <v>434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51" s="12" customFormat="1" ht="12">
      <c r="B99" s="152"/>
      <c r="D99" s="145" t="s">
        <v>249</v>
      </c>
      <c r="E99" s="153" t="s">
        <v>19</v>
      </c>
      <c r="F99" s="154" t="s">
        <v>1155</v>
      </c>
      <c r="H99" s="155">
        <v>18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51" s="12" customFormat="1" ht="12">
      <c r="B100" s="152"/>
      <c r="D100" s="145" t="s">
        <v>249</v>
      </c>
      <c r="E100" s="153" t="s">
        <v>19</v>
      </c>
      <c r="F100" s="154" t="s">
        <v>1156</v>
      </c>
      <c r="H100" s="155">
        <v>-0.471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51" s="13" customFormat="1" ht="12">
      <c r="B101" s="159"/>
      <c r="D101" s="145" t="s">
        <v>249</v>
      </c>
      <c r="E101" s="160" t="s">
        <v>19</v>
      </c>
      <c r="F101" s="161" t="s">
        <v>251</v>
      </c>
      <c r="H101" s="162">
        <v>17.529</v>
      </c>
      <c r="I101" s="163"/>
      <c r="L101" s="159"/>
      <c r="M101" s="164"/>
      <c r="T101" s="165"/>
      <c r="AT101" s="160" t="s">
        <v>249</v>
      </c>
      <c r="AU101" s="160" t="s">
        <v>86</v>
      </c>
      <c r="AV101" s="13" t="s">
        <v>166</v>
      </c>
      <c r="AW101" s="13" t="s">
        <v>37</v>
      </c>
      <c r="AX101" s="13" t="s">
        <v>84</v>
      </c>
      <c r="AY101" s="160" t="s">
        <v>144</v>
      </c>
    </row>
    <row r="102" spans="2:65" s="1" customFormat="1" ht="23.7" customHeight="1">
      <c r="B102" s="33"/>
      <c r="C102" s="128" t="s">
        <v>162</v>
      </c>
      <c r="D102" s="128" t="s">
        <v>147</v>
      </c>
      <c r="E102" s="129" t="s">
        <v>1157</v>
      </c>
      <c r="F102" s="130" t="s">
        <v>1158</v>
      </c>
      <c r="G102" s="131" t="s">
        <v>308</v>
      </c>
      <c r="H102" s="132">
        <v>60</v>
      </c>
      <c r="I102" s="133"/>
      <c r="J102" s="134">
        <f>ROUND(I102*H102,2)</f>
        <v>0</v>
      </c>
      <c r="K102" s="130" t="s">
        <v>151</v>
      </c>
      <c r="L102" s="33"/>
      <c r="M102" s="135" t="s">
        <v>19</v>
      </c>
      <c r="N102" s="136" t="s">
        <v>47</v>
      </c>
      <c r="P102" s="137">
        <f>O102*H102</f>
        <v>0</v>
      </c>
      <c r="Q102" s="137">
        <v>0.00048</v>
      </c>
      <c r="R102" s="137">
        <f>Q102*H102</f>
        <v>0.0288</v>
      </c>
      <c r="S102" s="137">
        <v>0</v>
      </c>
      <c r="T102" s="138">
        <f>S102*H102</f>
        <v>0</v>
      </c>
      <c r="AR102" s="139" t="s">
        <v>166</v>
      </c>
      <c r="AT102" s="139" t="s">
        <v>147</v>
      </c>
      <c r="AU102" s="139" t="s">
        <v>86</v>
      </c>
      <c r="AY102" s="18" t="s">
        <v>144</v>
      </c>
      <c r="BE102" s="140">
        <f>IF(N102="základní",J102,0)</f>
        <v>0</v>
      </c>
      <c r="BF102" s="140">
        <f>IF(N102="snížená",J102,0)</f>
        <v>0</v>
      </c>
      <c r="BG102" s="140">
        <f>IF(N102="zákl. přenesená",J102,0)</f>
        <v>0</v>
      </c>
      <c r="BH102" s="140">
        <f>IF(N102="sníž. přenesená",J102,0)</f>
        <v>0</v>
      </c>
      <c r="BI102" s="140">
        <f>IF(N102="nulová",J102,0)</f>
        <v>0</v>
      </c>
      <c r="BJ102" s="18" t="s">
        <v>84</v>
      </c>
      <c r="BK102" s="140">
        <f>ROUND(I102*H102,2)</f>
        <v>0</v>
      </c>
      <c r="BL102" s="18" t="s">
        <v>166</v>
      </c>
      <c r="BM102" s="139" t="s">
        <v>1159</v>
      </c>
    </row>
    <row r="103" spans="2:47" s="1" customFormat="1" ht="12">
      <c r="B103" s="33"/>
      <c r="D103" s="141" t="s">
        <v>154</v>
      </c>
      <c r="F103" s="142" t="s">
        <v>1160</v>
      </c>
      <c r="I103" s="143"/>
      <c r="L103" s="33"/>
      <c r="M103" s="144"/>
      <c r="T103" s="54"/>
      <c r="AT103" s="18" t="s">
        <v>154</v>
      </c>
      <c r="AU103" s="18" t="s">
        <v>86</v>
      </c>
    </row>
    <row r="104" spans="2:51" s="12" customFormat="1" ht="12">
      <c r="B104" s="152"/>
      <c r="D104" s="145" t="s">
        <v>249</v>
      </c>
      <c r="E104" s="153" t="s">
        <v>19</v>
      </c>
      <c r="F104" s="154" t="s">
        <v>1161</v>
      </c>
      <c r="H104" s="155">
        <v>60</v>
      </c>
      <c r="I104" s="156"/>
      <c r="L104" s="152"/>
      <c r="M104" s="157"/>
      <c r="T104" s="158"/>
      <c r="AT104" s="153" t="s">
        <v>249</v>
      </c>
      <c r="AU104" s="153" t="s">
        <v>86</v>
      </c>
      <c r="AV104" s="12" t="s">
        <v>86</v>
      </c>
      <c r="AW104" s="12" t="s">
        <v>37</v>
      </c>
      <c r="AX104" s="12" t="s">
        <v>76</v>
      </c>
      <c r="AY104" s="153" t="s">
        <v>144</v>
      </c>
    </row>
    <row r="105" spans="2:51" s="13" customFormat="1" ht="12">
      <c r="B105" s="159"/>
      <c r="D105" s="145" t="s">
        <v>249</v>
      </c>
      <c r="E105" s="160" t="s">
        <v>19</v>
      </c>
      <c r="F105" s="161" t="s">
        <v>251</v>
      </c>
      <c r="H105" s="162">
        <v>60</v>
      </c>
      <c r="I105" s="163"/>
      <c r="L105" s="159"/>
      <c r="M105" s="164"/>
      <c r="T105" s="165"/>
      <c r="AT105" s="160" t="s">
        <v>249</v>
      </c>
      <c r="AU105" s="160" t="s">
        <v>86</v>
      </c>
      <c r="AV105" s="13" t="s">
        <v>166</v>
      </c>
      <c r="AW105" s="13" t="s">
        <v>37</v>
      </c>
      <c r="AX105" s="13" t="s">
        <v>84</v>
      </c>
      <c r="AY105" s="160" t="s">
        <v>144</v>
      </c>
    </row>
    <row r="106" spans="2:65" s="1" customFormat="1" ht="15" customHeight="1">
      <c r="B106" s="33"/>
      <c r="C106" s="128" t="s">
        <v>166</v>
      </c>
      <c r="D106" s="128" t="s">
        <v>147</v>
      </c>
      <c r="E106" s="129" t="s">
        <v>1162</v>
      </c>
      <c r="F106" s="130" t="s">
        <v>1163</v>
      </c>
      <c r="G106" s="131" t="s">
        <v>308</v>
      </c>
      <c r="H106" s="132">
        <v>60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0.0001</v>
      </c>
      <c r="R106" s="137">
        <f>Q106*H106</f>
        <v>0.006</v>
      </c>
      <c r="S106" s="137">
        <v>0</v>
      </c>
      <c r="T106" s="138">
        <f>S106*H106</f>
        <v>0</v>
      </c>
      <c r="AR106" s="139" t="s">
        <v>166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166</v>
      </c>
      <c r="BM106" s="139" t="s">
        <v>1164</v>
      </c>
    </row>
    <row r="107" spans="2:47" s="1" customFormat="1" ht="12">
      <c r="B107" s="33"/>
      <c r="D107" s="141" t="s">
        <v>154</v>
      </c>
      <c r="F107" s="142" t="s">
        <v>1165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47" s="1" customFormat="1" ht="19.2">
      <c r="B108" s="33"/>
      <c r="D108" s="145" t="s">
        <v>156</v>
      </c>
      <c r="F108" s="146" t="s">
        <v>1166</v>
      </c>
      <c r="I108" s="143"/>
      <c r="L108" s="33"/>
      <c r="M108" s="144"/>
      <c r="T108" s="54"/>
      <c r="AT108" s="18" t="s">
        <v>156</v>
      </c>
      <c r="AU108" s="18" t="s">
        <v>86</v>
      </c>
    </row>
    <row r="109" spans="2:65" s="1" customFormat="1" ht="36.6" customHeight="1">
      <c r="B109" s="33"/>
      <c r="C109" s="128" t="s">
        <v>143</v>
      </c>
      <c r="D109" s="128" t="s">
        <v>147</v>
      </c>
      <c r="E109" s="129" t="s">
        <v>1167</v>
      </c>
      <c r="F109" s="130" t="s">
        <v>1168</v>
      </c>
      <c r="G109" s="131" t="s">
        <v>308</v>
      </c>
      <c r="H109" s="132">
        <v>279.93</v>
      </c>
      <c r="I109" s="133"/>
      <c r="J109" s="134">
        <f>ROUND(I109*H109,2)</f>
        <v>0</v>
      </c>
      <c r="K109" s="130" t="s">
        <v>151</v>
      </c>
      <c r="L109" s="33"/>
      <c r="M109" s="135" t="s">
        <v>19</v>
      </c>
      <c r="N109" s="136" t="s">
        <v>47</v>
      </c>
      <c r="P109" s="137">
        <f>O109*H109</f>
        <v>0</v>
      </c>
      <c r="Q109" s="137">
        <v>3E-05</v>
      </c>
      <c r="R109" s="137">
        <f>Q109*H109</f>
        <v>0.0083979</v>
      </c>
      <c r="S109" s="137">
        <v>0</v>
      </c>
      <c r="T109" s="138">
        <f>S109*H109</f>
        <v>0</v>
      </c>
      <c r="AR109" s="139" t="s">
        <v>166</v>
      </c>
      <c r="AT109" s="139" t="s">
        <v>147</v>
      </c>
      <c r="AU109" s="139" t="s">
        <v>86</v>
      </c>
      <c r="AY109" s="18" t="s">
        <v>144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84</v>
      </c>
      <c r="BK109" s="140">
        <f>ROUND(I109*H109,2)</f>
        <v>0</v>
      </c>
      <c r="BL109" s="18" t="s">
        <v>166</v>
      </c>
      <c r="BM109" s="139" t="s">
        <v>1169</v>
      </c>
    </row>
    <row r="110" spans="2:47" s="1" customFormat="1" ht="12">
      <c r="B110" s="33"/>
      <c r="D110" s="141" t="s">
        <v>154</v>
      </c>
      <c r="F110" s="142" t="s">
        <v>1170</v>
      </c>
      <c r="I110" s="143"/>
      <c r="L110" s="33"/>
      <c r="M110" s="144"/>
      <c r="T110" s="54"/>
      <c r="AT110" s="18" t="s">
        <v>154</v>
      </c>
      <c r="AU110" s="18" t="s">
        <v>86</v>
      </c>
    </row>
    <row r="111" spans="2:65" s="1" customFormat="1" ht="23.7" customHeight="1">
      <c r="B111" s="33"/>
      <c r="C111" s="128" t="s">
        <v>177</v>
      </c>
      <c r="D111" s="128" t="s">
        <v>147</v>
      </c>
      <c r="E111" s="129" t="s">
        <v>1171</v>
      </c>
      <c r="F111" s="130" t="s">
        <v>1172</v>
      </c>
      <c r="G111" s="131" t="s">
        <v>308</v>
      </c>
      <c r="H111" s="132">
        <v>279.93</v>
      </c>
      <c r="I111" s="133"/>
      <c r="J111" s="134">
        <f>ROUND(I111*H111,2)</f>
        <v>0</v>
      </c>
      <c r="K111" s="130" t="s">
        <v>151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166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166</v>
      </c>
      <c r="BM111" s="139" t="s">
        <v>1173</v>
      </c>
    </row>
    <row r="112" spans="2:47" s="1" customFormat="1" ht="12">
      <c r="B112" s="33"/>
      <c r="D112" s="141" t="s">
        <v>154</v>
      </c>
      <c r="F112" s="142" t="s">
        <v>1174</v>
      </c>
      <c r="I112" s="143"/>
      <c r="L112" s="33"/>
      <c r="M112" s="144"/>
      <c r="T112" s="54"/>
      <c r="AT112" s="18" t="s">
        <v>154</v>
      </c>
      <c r="AU112" s="18" t="s">
        <v>86</v>
      </c>
    </row>
    <row r="113" spans="2:65" s="1" customFormat="1" ht="42.6" customHeight="1">
      <c r="B113" s="33"/>
      <c r="C113" s="128" t="s">
        <v>184</v>
      </c>
      <c r="D113" s="128" t="s">
        <v>147</v>
      </c>
      <c r="E113" s="129" t="s">
        <v>1175</v>
      </c>
      <c r="F113" s="130" t="s">
        <v>1176</v>
      </c>
      <c r="G113" s="131" t="s">
        <v>308</v>
      </c>
      <c r="H113" s="132">
        <v>264.5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1177</v>
      </c>
    </row>
    <row r="114" spans="2:47" s="1" customFormat="1" ht="12">
      <c r="B114" s="33"/>
      <c r="D114" s="141" t="s">
        <v>154</v>
      </c>
      <c r="F114" s="142" t="s">
        <v>1178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51" s="12" customFormat="1" ht="12">
      <c r="B115" s="152"/>
      <c r="D115" s="145" t="s">
        <v>249</v>
      </c>
      <c r="E115" s="153" t="s">
        <v>19</v>
      </c>
      <c r="F115" s="154" t="s">
        <v>1179</v>
      </c>
      <c r="H115" s="155">
        <v>264.5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76</v>
      </c>
      <c r="AY115" s="153" t="s">
        <v>144</v>
      </c>
    </row>
    <row r="116" spans="2:51" s="13" customFormat="1" ht="12">
      <c r="B116" s="159"/>
      <c r="D116" s="145" t="s">
        <v>249</v>
      </c>
      <c r="E116" s="160" t="s">
        <v>19</v>
      </c>
      <c r="F116" s="161" t="s">
        <v>251</v>
      </c>
      <c r="H116" s="162">
        <v>264.5</v>
      </c>
      <c r="I116" s="163"/>
      <c r="L116" s="159"/>
      <c r="M116" s="164"/>
      <c r="T116" s="165"/>
      <c r="AT116" s="160" t="s">
        <v>249</v>
      </c>
      <c r="AU116" s="160" t="s">
        <v>86</v>
      </c>
      <c r="AV116" s="13" t="s">
        <v>166</v>
      </c>
      <c r="AW116" s="13" t="s">
        <v>37</v>
      </c>
      <c r="AX116" s="13" t="s">
        <v>84</v>
      </c>
      <c r="AY116" s="160" t="s">
        <v>144</v>
      </c>
    </row>
    <row r="117" spans="2:65" s="1" customFormat="1" ht="15" customHeight="1">
      <c r="B117" s="33"/>
      <c r="C117" s="172" t="s">
        <v>189</v>
      </c>
      <c r="D117" s="172" t="s">
        <v>410</v>
      </c>
      <c r="E117" s="173" t="s">
        <v>1180</v>
      </c>
      <c r="F117" s="174" t="s">
        <v>1181</v>
      </c>
      <c r="G117" s="175" t="s">
        <v>324</v>
      </c>
      <c r="H117" s="176">
        <v>94</v>
      </c>
      <c r="I117" s="177"/>
      <c r="J117" s="178">
        <f>ROUND(I117*H117,2)</f>
        <v>0</v>
      </c>
      <c r="K117" s="174" t="s">
        <v>19</v>
      </c>
      <c r="L117" s="179"/>
      <c r="M117" s="180" t="s">
        <v>19</v>
      </c>
      <c r="N117" s="181" t="s">
        <v>47</v>
      </c>
      <c r="P117" s="137">
        <f>O117*H117</f>
        <v>0</v>
      </c>
      <c r="Q117" s="137">
        <v>2.429</v>
      </c>
      <c r="R117" s="137">
        <f>Q117*H117</f>
        <v>228.326</v>
      </c>
      <c r="S117" s="137">
        <v>0</v>
      </c>
      <c r="T117" s="138">
        <f>S117*H117</f>
        <v>0</v>
      </c>
      <c r="AR117" s="139" t="s">
        <v>189</v>
      </c>
      <c r="AT117" s="139" t="s">
        <v>410</v>
      </c>
      <c r="AU117" s="139" t="s">
        <v>86</v>
      </c>
      <c r="AY117" s="18" t="s">
        <v>144</v>
      </c>
      <c r="BE117" s="140">
        <f>IF(N117="základní",J117,0)</f>
        <v>0</v>
      </c>
      <c r="BF117" s="140">
        <f>IF(N117="snížená",J117,0)</f>
        <v>0</v>
      </c>
      <c r="BG117" s="140">
        <f>IF(N117="zákl. přenesená",J117,0)</f>
        <v>0</v>
      </c>
      <c r="BH117" s="140">
        <f>IF(N117="sníž. přenesená",J117,0)</f>
        <v>0</v>
      </c>
      <c r="BI117" s="140">
        <f>IF(N117="nulová",J117,0)</f>
        <v>0</v>
      </c>
      <c r="BJ117" s="18" t="s">
        <v>84</v>
      </c>
      <c r="BK117" s="140">
        <f>ROUND(I117*H117,2)</f>
        <v>0</v>
      </c>
      <c r="BL117" s="18" t="s">
        <v>166</v>
      </c>
      <c r="BM117" s="139" t="s">
        <v>1182</v>
      </c>
    </row>
    <row r="118" spans="2:65" s="1" customFormat="1" ht="21.3" customHeight="1">
      <c r="B118" s="33"/>
      <c r="C118" s="128" t="s">
        <v>195</v>
      </c>
      <c r="D118" s="128" t="s">
        <v>147</v>
      </c>
      <c r="E118" s="129" t="s">
        <v>1183</v>
      </c>
      <c r="F118" s="130" t="s">
        <v>1184</v>
      </c>
      <c r="G118" s="131" t="s">
        <v>413</v>
      </c>
      <c r="H118" s="132">
        <v>6.2</v>
      </c>
      <c r="I118" s="133"/>
      <c r="J118" s="134">
        <f>ROUND(I118*H118,2)</f>
        <v>0</v>
      </c>
      <c r="K118" s="130" t="s">
        <v>151</v>
      </c>
      <c r="L118" s="33"/>
      <c r="M118" s="135" t="s">
        <v>19</v>
      </c>
      <c r="N118" s="136" t="s">
        <v>47</v>
      </c>
      <c r="P118" s="137">
        <f>O118*H118</f>
        <v>0</v>
      </c>
      <c r="Q118" s="137">
        <v>1.11381</v>
      </c>
      <c r="R118" s="137">
        <f>Q118*H118</f>
        <v>6.905622</v>
      </c>
      <c r="S118" s="137">
        <v>0</v>
      </c>
      <c r="T118" s="138">
        <f>S118*H118</f>
        <v>0</v>
      </c>
      <c r="AR118" s="139" t="s">
        <v>166</v>
      </c>
      <c r="AT118" s="139" t="s">
        <v>147</v>
      </c>
      <c r="AU118" s="139" t="s">
        <v>86</v>
      </c>
      <c r="AY118" s="18" t="s">
        <v>144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84</v>
      </c>
      <c r="BK118" s="140">
        <f>ROUND(I118*H118,2)</f>
        <v>0</v>
      </c>
      <c r="BL118" s="18" t="s">
        <v>166</v>
      </c>
      <c r="BM118" s="139" t="s">
        <v>1185</v>
      </c>
    </row>
    <row r="119" spans="2:47" s="1" customFormat="1" ht="12">
      <c r="B119" s="33"/>
      <c r="D119" s="141" t="s">
        <v>154</v>
      </c>
      <c r="F119" s="142" t="s">
        <v>1186</v>
      </c>
      <c r="I119" s="143"/>
      <c r="L119" s="33"/>
      <c r="M119" s="144"/>
      <c r="T119" s="54"/>
      <c r="AT119" s="18" t="s">
        <v>154</v>
      </c>
      <c r="AU119" s="18" t="s">
        <v>86</v>
      </c>
    </row>
    <row r="120" spans="2:65" s="1" customFormat="1" ht="23.7" customHeight="1">
      <c r="B120" s="33"/>
      <c r="C120" s="128" t="s">
        <v>201</v>
      </c>
      <c r="D120" s="128" t="s">
        <v>147</v>
      </c>
      <c r="E120" s="129" t="s">
        <v>1187</v>
      </c>
      <c r="F120" s="130" t="s">
        <v>1188</v>
      </c>
      <c r="G120" s="131" t="s">
        <v>324</v>
      </c>
      <c r="H120" s="132">
        <v>28</v>
      </c>
      <c r="I120" s="133"/>
      <c r="J120" s="134">
        <f>ROUND(I120*H120,2)</f>
        <v>0</v>
      </c>
      <c r="K120" s="130" t="s">
        <v>151</v>
      </c>
      <c r="L120" s="33"/>
      <c r="M120" s="135" t="s">
        <v>19</v>
      </c>
      <c r="N120" s="136" t="s">
        <v>47</v>
      </c>
      <c r="P120" s="137">
        <f>O120*H120</f>
        <v>0</v>
      </c>
      <c r="Q120" s="137">
        <v>2.50187</v>
      </c>
      <c r="R120" s="137">
        <f>Q120*H120</f>
        <v>70.05236</v>
      </c>
      <c r="S120" s="137">
        <v>0</v>
      </c>
      <c r="T120" s="138">
        <f>S120*H120</f>
        <v>0</v>
      </c>
      <c r="AR120" s="139" t="s">
        <v>166</v>
      </c>
      <c r="AT120" s="139" t="s">
        <v>147</v>
      </c>
      <c r="AU120" s="139" t="s">
        <v>86</v>
      </c>
      <c r="AY120" s="18" t="s">
        <v>144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8" t="s">
        <v>84</v>
      </c>
      <c r="BK120" s="140">
        <f>ROUND(I120*H120,2)</f>
        <v>0</v>
      </c>
      <c r="BL120" s="18" t="s">
        <v>166</v>
      </c>
      <c r="BM120" s="139" t="s">
        <v>1189</v>
      </c>
    </row>
    <row r="121" spans="2:47" s="1" customFormat="1" ht="12">
      <c r="B121" s="33"/>
      <c r="D121" s="141" t="s">
        <v>154</v>
      </c>
      <c r="F121" s="142" t="s">
        <v>1190</v>
      </c>
      <c r="I121" s="143"/>
      <c r="L121" s="33"/>
      <c r="M121" s="144"/>
      <c r="T121" s="54"/>
      <c r="AT121" s="18" t="s">
        <v>154</v>
      </c>
      <c r="AU121" s="18" t="s">
        <v>86</v>
      </c>
    </row>
    <row r="122" spans="2:47" s="1" customFormat="1" ht="19.2">
      <c r="B122" s="33"/>
      <c r="D122" s="145" t="s">
        <v>156</v>
      </c>
      <c r="F122" s="146" t="s">
        <v>1191</v>
      </c>
      <c r="I122" s="143"/>
      <c r="L122" s="33"/>
      <c r="M122" s="144"/>
      <c r="T122" s="54"/>
      <c r="AT122" s="18" t="s">
        <v>156</v>
      </c>
      <c r="AU122" s="18" t="s">
        <v>86</v>
      </c>
    </row>
    <row r="123" spans="2:63" s="11" customFormat="1" ht="22.8" customHeight="1">
      <c r="B123" s="116"/>
      <c r="D123" s="117" t="s">
        <v>75</v>
      </c>
      <c r="E123" s="126" t="s">
        <v>162</v>
      </c>
      <c r="F123" s="126" t="s">
        <v>1036</v>
      </c>
      <c r="I123" s="119"/>
      <c r="J123" s="127">
        <f>BK123</f>
        <v>0</v>
      </c>
      <c r="L123" s="116"/>
      <c r="M123" s="121"/>
      <c r="P123" s="122">
        <f>SUM(P124:P134)</f>
        <v>0</v>
      </c>
      <c r="R123" s="122">
        <f>SUM(R124:R134)</f>
        <v>105.79613</v>
      </c>
      <c r="T123" s="123">
        <f>SUM(T124:T134)</f>
        <v>0</v>
      </c>
      <c r="AR123" s="117" t="s">
        <v>84</v>
      </c>
      <c r="AT123" s="124" t="s">
        <v>75</v>
      </c>
      <c r="AU123" s="124" t="s">
        <v>84</v>
      </c>
      <c r="AY123" s="117" t="s">
        <v>144</v>
      </c>
      <c r="BK123" s="125">
        <f>SUM(BK124:BK134)</f>
        <v>0</v>
      </c>
    </row>
    <row r="124" spans="2:65" s="1" customFormat="1" ht="31.95" customHeight="1">
      <c r="B124" s="33"/>
      <c r="C124" s="128" t="s">
        <v>208</v>
      </c>
      <c r="D124" s="128" t="s">
        <v>147</v>
      </c>
      <c r="E124" s="129" t="s">
        <v>1192</v>
      </c>
      <c r="F124" s="130" t="s">
        <v>1193</v>
      </c>
      <c r="G124" s="131" t="s">
        <v>324</v>
      </c>
      <c r="H124" s="132">
        <v>40</v>
      </c>
      <c r="I124" s="133"/>
      <c r="J124" s="134">
        <f>ROUND(I124*H124,2)</f>
        <v>0</v>
      </c>
      <c r="K124" s="130" t="s">
        <v>151</v>
      </c>
      <c r="L124" s="33"/>
      <c r="M124" s="135" t="s">
        <v>19</v>
      </c>
      <c r="N124" s="136" t="s">
        <v>47</v>
      </c>
      <c r="P124" s="137">
        <f>O124*H124</f>
        <v>0</v>
      </c>
      <c r="Q124" s="137">
        <v>2.50187</v>
      </c>
      <c r="R124" s="137">
        <f>Q124*H124</f>
        <v>100.0748</v>
      </c>
      <c r="S124" s="137">
        <v>0</v>
      </c>
      <c r="T124" s="138">
        <f>S124*H124</f>
        <v>0</v>
      </c>
      <c r="AR124" s="139" t="s">
        <v>166</v>
      </c>
      <c r="AT124" s="139" t="s">
        <v>147</v>
      </c>
      <c r="AU124" s="139" t="s">
        <v>86</v>
      </c>
      <c r="AY124" s="18" t="s">
        <v>144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84</v>
      </c>
      <c r="BK124" s="140">
        <f>ROUND(I124*H124,2)</f>
        <v>0</v>
      </c>
      <c r="BL124" s="18" t="s">
        <v>166</v>
      </c>
      <c r="BM124" s="139" t="s">
        <v>1194</v>
      </c>
    </row>
    <row r="125" spans="2:47" s="1" customFormat="1" ht="12">
      <c r="B125" s="33"/>
      <c r="D125" s="141" t="s">
        <v>154</v>
      </c>
      <c r="F125" s="142" t="s">
        <v>1195</v>
      </c>
      <c r="I125" s="143"/>
      <c r="L125" s="33"/>
      <c r="M125" s="144"/>
      <c r="T125" s="54"/>
      <c r="AT125" s="18" t="s">
        <v>154</v>
      </c>
      <c r="AU125" s="18" t="s">
        <v>86</v>
      </c>
    </row>
    <row r="126" spans="2:47" s="1" customFormat="1" ht="19.2">
      <c r="B126" s="33"/>
      <c r="D126" s="145" t="s">
        <v>156</v>
      </c>
      <c r="F126" s="146" t="s">
        <v>1196</v>
      </c>
      <c r="I126" s="143"/>
      <c r="L126" s="33"/>
      <c r="M126" s="144"/>
      <c r="T126" s="54"/>
      <c r="AT126" s="18" t="s">
        <v>156</v>
      </c>
      <c r="AU126" s="18" t="s">
        <v>86</v>
      </c>
    </row>
    <row r="127" spans="2:65" s="1" customFormat="1" ht="23.7" customHeight="1">
      <c r="B127" s="33"/>
      <c r="C127" s="128" t="s">
        <v>214</v>
      </c>
      <c r="D127" s="128" t="s">
        <v>147</v>
      </c>
      <c r="E127" s="129" t="s">
        <v>1197</v>
      </c>
      <c r="F127" s="130" t="s">
        <v>1198</v>
      </c>
      <c r="G127" s="131" t="s">
        <v>246</v>
      </c>
      <c r="H127" s="132">
        <v>160</v>
      </c>
      <c r="I127" s="133"/>
      <c r="J127" s="134">
        <f>ROUND(I127*H127,2)</f>
        <v>0</v>
      </c>
      <c r="K127" s="130" t="s">
        <v>151</v>
      </c>
      <c r="L127" s="33"/>
      <c r="M127" s="135" t="s">
        <v>19</v>
      </c>
      <c r="N127" s="136" t="s">
        <v>47</v>
      </c>
      <c r="P127" s="137">
        <f>O127*H127</f>
        <v>0</v>
      </c>
      <c r="Q127" s="137">
        <v>0.00275</v>
      </c>
      <c r="R127" s="137">
        <f>Q127*H127</f>
        <v>0.43999999999999995</v>
      </c>
      <c r="S127" s="137">
        <v>0</v>
      </c>
      <c r="T127" s="138">
        <f>S127*H127</f>
        <v>0</v>
      </c>
      <c r="AR127" s="139" t="s">
        <v>166</v>
      </c>
      <c r="AT127" s="139" t="s">
        <v>147</v>
      </c>
      <c r="AU127" s="139" t="s">
        <v>86</v>
      </c>
      <c r="AY127" s="18" t="s">
        <v>144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84</v>
      </c>
      <c r="BK127" s="140">
        <f>ROUND(I127*H127,2)</f>
        <v>0</v>
      </c>
      <c r="BL127" s="18" t="s">
        <v>166</v>
      </c>
      <c r="BM127" s="139" t="s">
        <v>1199</v>
      </c>
    </row>
    <row r="128" spans="2:47" s="1" customFormat="1" ht="12">
      <c r="B128" s="33"/>
      <c r="D128" s="141" t="s">
        <v>154</v>
      </c>
      <c r="F128" s="142" t="s">
        <v>1200</v>
      </c>
      <c r="I128" s="143"/>
      <c r="L128" s="33"/>
      <c r="M128" s="144"/>
      <c r="T128" s="54"/>
      <c r="AT128" s="18" t="s">
        <v>154</v>
      </c>
      <c r="AU128" s="18" t="s">
        <v>86</v>
      </c>
    </row>
    <row r="129" spans="2:65" s="1" customFormat="1" ht="23.7" customHeight="1">
      <c r="B129" s="33"/>
      <c r="C129" s="128" t="s">
        <v>221</v>
      </c>
      <c r="D129" s="128" t="s">
        <v>147</v>
      </c>
      <c r="E129" s="129" t="s">
        <v>1201</v>
      </c>
      <c r="F129" s="130" t="s">
        <v>1202</v>
      </c>
      <c r="G129" s="131" t="s">
        <v>246</v>
      </c>
      <c r="H129" s="132">
        <v>160</v>
      </c>
      <c r="I129" s="133"/>
      <c r="J129" s="134">
        <f>ROUND(I129*H129,2)</f>
        <v>0</v>
      </c>
      <c r="K129" s="130" t="s">
        <v>151</v>
      </c>
      <c r="L129" s="33"/>
      <c r="M129" s="135" t="s">
        <v>19</v>
      </c>
      <c r="N129" s="136" t="s">
        <v>47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166</v>
      </c>
      <c r="AT129" s="139" t="s">
        <v>147</v>
      </c>
      <c r="AU129" s="139" t="s">
        <v>86</v>
      </c>
      <c r="AY129" s="18" t="s">
        <v>144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8" t="s">
        <v>84</v>
      </c>
      <c r="BK129" s="140">
        <f>ROUND(I129*H129,2)</f>
        <v>0</v>
      </c>
      <c r="BL129" s="18" t="s">
        <v>166</v>
      </c>
      <c r="BM129" s="139" t="s">
        <v>1203</v>
      </c>
    </row>
    <row r="130" spans="2:47" s="1" customFormat="1" ht="12">
      <c r="B130" s="33"/>
      <c r="D130" s="141" t="s">
        <v>154</v>
      </c>
      <c r="F130" s="142" t="s">
        <v>1204</v>
      </c>
      <c r="I130" s="143"/>
      <c r="L130" s="33"/>
      <c r="M130" s="144"/>
      <c r="T130" s="54"/>
      <c r="AT130" s="18" t="s">
        <v>154</v>
      </c>
      <c r="AU130" s="18" t="s">
        <v>86</v>
      </c>
    </row>
    <row r="131" spans="2:65" s="1" customFormat="1" ht="36.6" customHeight="1">
      <c r="B131" s="33"/>
      <c r="C131" s="128" t="s">
        <v>225</v>
      </c>
      <c r="D131" s="128" t="s">
        <v>147</v>
      </c>
      <c r="E131" s="129" t="s">
        <v>1205</v>
      </c>
      <c r="F131" s="130" t="s">
        <v>1206</v>
      </c>
      <c r="G131" s="131" t="s">
        <v>413</v>
      </c>
      <c r="H131" s="132">
        <v>2.4</v>
      </c>
      <c r="I131" s="133"/>
      <c r="J131" s="134">
        <f>ROUND(I131*H131,2)</f>
        <v>0</v>
      </c>
      <c r="K131" s="130" t="s">
        <v>151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1.04922</v>
      </c>
      <c r="R131" s="137">
        <f>Q131*H131</f>
        <v>2.518128</v>
      </c>
      <c r="S131" s="137">
        <v>0</v>
      </c>
      <c r="T131" s="138">
        <f>S131*H131</f>
        <v>0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1207</v>
      </c>
    </row>
    <row r="132" spans="2:47" s="1" customFormat="1" ht="12">
      <c r="B132" s="33"/>
      <c r="D132" s="141" t="s">
        <v>154</v>
      </c>
      <c r="F132" s="142" t="s">
        <v>1208</v>
      </c>
      <c r="I132" s="143"/>
      <c r="L132" s="33"/>
      <c r="M132" s="144"/>
      <c r="T132" s="54"/>
      <c r="AT132" s="18" t="s">
        <v>154</v>
      </c>
      <c r="AU132" s="18" t="s">
        <v>86</v>
      </c>
    </row>
    <row r="133" spans="2:65" s="1" customFormat="1" ht="36.6" customHeight="1">
      <c r="B133" s="33"/>
      <c r="C133" s="128" t="s">
        <v>8</v>
      </c>
      <c r="D133" s="128" t="s">
        <v>147</v>
      </c>
      <c r="E133" s="129" t="s">
        <v>1209</v>
      </c>
      <c r="F133" s="130" t="s">
        <v>1210</v>
      </c>
      <c r="G133" s="131" t="s">
        <v>413</v>
      </c>
      <c r="H133" s="132">
        <v>2.6</v>
      </c>
      <c r="I133" s="133"/>
      <c r="J133" s="134">
        <f>ROUND(I133*H133,2)</f>
        <v>0</v>
      </c>
      <c r="K133" s="130" t="s">
        <v>151</v>
      </c>
      <c r="L133" s="33"/>
      <c r="M133" s="135" t="s">
        <v>19</v>
      </c>
      <c r="N133" s="136" t="s">
        <v>47</v>
      </c>
      <c r="P133" s="137">
        <f>O133*H133</f>
        <v>0</v>
      </c>
      <c r="Q133" s="137">
        <v>1.06277</v>
      </c>
      <c r="R133" s="137">
        <f>Q133*H133</f>
        <v>2.763202</v>
      </c>
      <c r="S133" s="137">
        <v>0</v>
      </c>
      <c r="T133" s="138">
        <f>S133*H133</f>
        <v>0</v>
      </c>
      <c r="AR133" s="139" t="s">
        <v>166</v>
      </c>
      <c r="AT133" s="139" t="s">
        <v>147</v>
      </c>
      <c r="AU133" s="139" t="s">
        <v>86</v>
      </c>
      <c r="AY133" s="18" t="s">
        <v>144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8" t="s">
        <v>84</v>
      </c>
      <c r="BK133" s="140">
        <f>ROUND(I133*H133,2)</f>
        <v>0</v>
      </c>
      <c r="BL133" s="18" t="s">
        <v>166</v>
      </c>
      <c r="BM133" s="139" t="s">
        <v>1211</v>
      </c>
    </row>
    <row r="134" spans="2:47" s="1" customFormat="1" ht="12">
      <c r="B134" s="33"/>
      <c r="D134" s="141" t="s">
        <v>154</v>
      </c>
      <c r="F134" s="142" t="s">
        <v>1212</v>
      </c>
      <c r="I134" s="143"/>
      <c r="L134" s="33"/>
      <c r="M134" s="144"/>
      <c r="T134" s="54"/>
      <c r="AT134" s="18" t="s">
        <v>154</v>
      </c>
      <c r="AU134" s="18" t="s">
        <v>86</v>
      </c>
    </row>
    <row r="135" spans="2:63" s="11" customFormat="1" ht="22.8" customHeight="1">
      <c r="B135" s="116"/>
      <c r="D135" s="117" t="s">
        <v>75</v>
      </c>
      <c r="E135" s="126" t="s">
        <v>166</v>
      </c>
      <c r="F135" s="126" t="s">
        <v>463</v>
      </c>
      <c r="I135" s="119"/>
      <c r="J135" s="127">
        <f>BK135</f>
        <v>0</v>
      </c>
      <c r="L135" s="116"/>
      <c r="M135" s="121"/>
      <c r="P135" s="122">
        <f>SUM(P136:P139)</f>
        <v>0</v>
      </c>
      <c r="R135" s="122">
        <f>SUM(R136:R139)</f>
        <v>0</v>
      </c>
      <c r="T135" s="123">
        <f>SUM(T136:T139)</f>
        <v>0</v>
      </c>
      <c r="AR135" s="117" t="s">
        <v>84</v>
      </c>
      <c r="AT135" s="124" t="s">
        <v>75</v>
      </c>
      <c r="AU135" s="124" t="s">
        <v>84</v>
      </c>
      <c r="AY135" s="117" t="s">
        <v>144</v>
      </c>
      <c r="BK135" s="125">
        <f>SUM(BK136:BK139)</f>
        <v>0</v>
      </c>
    </row>
    <row r="136" spans="2:65" s="1" customFormat="1" ht="23.7" customHeight="1">
      <c r="B136" s="33"/>
      <c r="C136" s="128" t="s">
        <v>330</v>
      </c>
      <c r="D136" s="128" t="s">
        <v>147</v>
      </c>
      <c r="E136" s="129" t="s">
        <v>1213</v>
      </c>
      <c r="F136" s="130" t="s">
        <v>1214</v>
      </c>
      <c r="G136" s="131" t="s">
        <v>246</v>
      </c>
      <c r="H136" s="132">
        <v>34.7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1215</v>
      </c>
    </row>
    <row r="137" spans="2:47" s="1" customFormat="1" ht="12">
      <c r="B137" s="33"/>
      <c r="D137" s="141" t="s">
        <v>154</v>
      </c>
      <c r="F137" s="142" t="s">
        <v>1216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51" s="12" customFormat="1" ht="12">
      <c r="B138" s="152"/>
      <c r="D138" s="145" t="s">
        <v>249</v>
      </c>
      <c r="E138" s="153" t="s">
        <v>19</v>
      </c>
      <c r="F138" s="154" t="s">
        <v>1217</v>
      </c>
      <c r="H138" s="155">
        <v>34.7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51" s="13" customFormat="1" ht="12">
      <c r="B139" s="159"/>
      <c r="D139" s="145" t="s">
        <v>249</v>
      </c>
      <c r="E139" s="160" t="s">
        <v>19</v>
      </c>
      <c r="F139" s="161" t="s">
        <v>251</v>
      </c>
      <c r="H139" s="162">
        <v>34.7</v>
      </c>
      <c r="I139" s="163"/>
      <c r="L139" s="159"/>
      <c r="M139" s="164"/>
      <c r="T139" s="165"/>
      <c r="AT139" s="160" t="s">
        <v>249</v>
      </c>
      <c r="AU139" s="160" t="s">
        <v>86</v>
      </c>
      <c r="AV139" s="13" t="s">
        <v>166</v>
      </c>
      <c r="AW139" s="13" t="s">
        <v>37</v>
      </c>
      <c r="AX139" s="13" t="s">
        <v>84</v>
      </c>
      <c r="AY139" s="160" t="s">
        <v>144</v>
      </c>
    </row>
    <row r="140" spans="2:63" s="11" customFormat="1" ht="22.8" customHeight="1">
      <c r="B140" s="116"/>
      <c r="D140" s="117" t="s">
        <v>75</v>
      </c>
      <c r="E140" s="126" t="s">
        <v>189</v>
      </c>
      <c r="F140" s="126" t="s">
        <v>602</v>
      </c>
      <c r="I140" s="119"/>
      <c r="J140" s="127">
        <f>BK140</f>
        <v>0</v>
      </c>
      <c r="L140" s="116"/>
      <c r="M140" s="121"/>
      <c r="P140" s="122">
        <f>SUM(P141:P142)</f>
        <v>0</v>
      </c>
      <c r="R140" s="122">
        <f>SUM(R141:R142)</f>
        <v>13.632390000000001</v>
      </c>
      <c r="T140" s="123">
        <f>SUM(T141:T142)</f>
        <v>0</v>
      </c>
      <c r="AR140" s="117" t="s">
        <v>84</v>
      </c>
      <c r="AT140" s="124" t="s">
        <v>75</v>
      </c>
      <c r="AU140" s="124" t="s">
        <v>84</v>
      </c>
      <c r="AY140" s="117" t="s">
        <v>144</v>
      </c>
      <c r="BK140" s="125">
        <f>SUM(BK141:BK142)</f>
        <v>0</v>
      </c>
    </row>
    <row r="141" spans="2:65" s="1" customFormat="1" ht="23.7" customHeight="1">
      <c r="B141" s="33"/>
      <c r="C141" s="128" t="s">
        <v>336</v>
      </c>
      <c r="D141" s="128" t="s">
        <v>147</v>
      </c>
      <c r="E141" s="129" t="s">
        <v>623</v>
      </c>
      <c r="F141" s="130" t="s">
        <v>624</v>
      </c>
      <c r="G141" s="131" t="s">
        <v>467</v>
      </c>
      <c r="H141" s="132">
        <v>9</v>
      </c>
      <c r="I141" s="133"/>
      <c r="J141" s="134">
        <f>ROUND(I141*H141,2)</f>
        <v>0</v>
      </c>
      <c r="K141" s="130" t="s">
        <v>151</v>
      </c>
      <c r="L141" s="33"/>
      <c r="M141" s="135" t="s">
        <v>19</v>
      </c>
      <c r="N141" s="136" t="s">
        <v>47</v>
      </c>
      <c r="P141" s="137">
        <f>O141*H141</f>
        <v>0</v>
      </c>
      <c r="Q141" s="137">
        <v>1.51471</v>
      </c>
      <c r="R141" s="137">
        <f>Q141*H141</f>
        <v>13.632390000000001</v>
      </c>
      <c r="S141" s="137">
        <v>0</v>
      </c>
      <c r="T141" s="138">
        <f>S141*H141</f>
        <v>0</v>
      </c>
      <c r="AR141" s="139" t="s">
        <v>166</v>
      </c>
      <c r="AT141" s="139" t="s">
        <v>147</v>
      </c>
      <c r="AU141" s="139" t="s">
        <v>86</v>
      </c>
      <c r="AY141" s="18" t="s">
        <v>144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84</v>
      </c>
      <c r="BK141" s="140">
        <f>ROUND(I141*H141,2)</f>
        <v>0</v>
      </c>
      <c r="BL141" s="18" t="s">
        <v>166</v>
      </c>
      <c r="BM141" s="139" t="s">
        <v>1218</v>
      </c>
    </row>
    <row r="142" spans="2:47" s="1" customFormat="1" ht="12">
      <c r="B142" s="33"/>
      <c r="D142" s="141" t="s">
        <v>154</v>
      </c>
      <c r="F142" s="142" t="s">
        <v>626</v>
      </c>
      <c r="I142" s="143"/>
      <c r="L142" s="33"/>
      <c r="M142" s="144"/>
      <c r="T142" s="54"/>
      <c r="AT142" s="18" t="s">
        <v>154</v>
      </c>
      <c r="AU142" s="18" t="s">
        <v>86</v>
      </c>
    </row>
    <row r="143" spans="2:63" s="11" customFormat="1" ht="22.8" customHeight="1">
      <c r="B143" s="116"/>
      <c r="D143" s="117" t="s">
        <v>75</v>
      </c>
      <c r="E143" s="126" t="s">
        <v>195</v>
      </c>
      <c r="F143" s="126" t="s">
        <v>675</v>
      </c>
      <c r="I143" s="119"/>
      <c r="J143" s="127">
        <f>BK143</f>
        <v>0</v>
      </c>
      <c r="L143" s="116"/>
      <c r="M143" s="121"/>
      <c r="P143" s="122">
        <f>SUM(P144:P148)</f>
        <v>0</v>
      </c>
      <c r="R143" s="122">
        <f>SUM(R144:R148)</f>
        <v>0.019940000000000003</v>
      </c>
      <c r="T143" s="123">
        <f>SUM(T144:T148)</f>
        <v>0</v>
      </c>
      <c r="AR143" s="117" t="s">
        <v>84</v>
      </c>
      <c r="AT143" s="124" t="s">
        <v>75</v>
      </c>
      <c r="AU143" s="124" t="s">
        <v>84</v>
      </c>
      <c r="AY143" s="117" t="s">
        <v>144</v>
      </c>
      <c r="BK143" s="125">
        <f>SUM(BK144:BK148)</f>
        <v>0</v>
      </c>
    </row>
    <row r="144" spans="2:65" s="1" customFormat="1" ht="36.6" customHeight="1">
      <c r="B144" s="33"/>
      <c r="C144" s="128" t="s">
        <v>343</v>
      </c>
      <c r="D144" s="128" t="s">
        <v>147</v>
      </c>
      <c r="E144" s="129" t="s">
        <v>1219</v>
      </c>
      <c r="F144" s="130" t="s">
        <v>1220</v>
      </c>
      <c r="G144" s="131" t="s">
        <v>467</v>
      </c>
      <c r="H144" s="132">
        <v>20</v>
      </c>
      <c r="I144" s="133"/>
      <c r="J144" s="134">
        <f>ROUND(I144*H144,2)</f>
        <v>0</v>
      </c>
      <c r="K144" s="130" t="s">
        <v>151</v>
      </c>
      <c r="L144" s="33"/>
      <c r="M144" s="135" t="s">
        <v>19</v>
      </c>
      <c r="N144" s="136" t="s">
        <v>47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166</v>
      </c>
      <c r="AT144" s="139" t="s">
        <v>147</v>
      </c>
      <c r="AU144" s="139" t="s">
        <v>86</v>
      </c>
      <c r="AY144" s="18" t="s">
        <v>144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8" t="s">
        <v>84</v>
      </c>
      <c r="BK144" s="140">
        <f>ROUND(I144*H144,2)</f>
        <v>0</v>
      </c>
      <c r="BL144" s="18" t="s">
        <v>166</v>
      </c>
      <c r="BM144" s="139" t="s">
        <v>1221</v>
      </c>
    </row>
    <row r="145" spans="2:47" s="1" customFormat="1" ht="12">
      <c r="B145" s="33"/>
      <c r="D145" s="141" t="s">
        <v>154</v>
      </c>
      <c r="F145" s="142" t="s">
        <v>1222</v>
      </c>
      <c r="I145" s="143"/>
      <c r="L145" s="33"/>
      <c r="M145" s="144"/>
      <c r="T145" s="54"/>
      <c r="AT145" s="18" t="s">
        <v>154</v>
      </c>
      <c r="AU145" s="18" t="s">
        <v>86</v>
      </c>
    </row>
    <row r="146" spans="2:65" s="1" customFormat="1" ht="23.7" customHeight="1">
      <c r="B146" s="33"/>
      <c r="C146" s="172" t="s">
        <v>350</v>
      </c>
      <c r="D146" s="172" t="s">
        <v>410</v>
      </c>
      <c r="E146" s="173" t="s">
        <v>1223</v>
      </c>
      <c r="F146" s="174" t="s">
        <v>1224</v>
      </c>
      <c r="G146" s="175" t="s">
        <v>467</v>
      </c>
      <c r="H146" s="176">
        <v>20</v>
      </c>
      <c r="I146" s="177"/>
      <c r="J146" s="178">
        <f>ROUND(I146*H146,2)</f>
        <v>0</v>
      </c>
      <c r="K146" s="174" t="s">
        <v>151</v>
      </c>
      <c r="L146" s="179"/>
      <c r="M146" s="180" t="s">
        <v>19</v>
      </c>
      <c r="N146" s="181" t="s">
        <v>47</v>
      </c>
      <c r="P146" s="137">
        <f>O146*H146</f>
        <v>0</v>
      </c>
      <c r="Q146" s="137">
        <v>0.00076</v>
      </c>
      <c r="R146" s="137">
        <f>Q146*H146</f>
        <v>0.015200000000000002</v>
      </c>
      <c r="S146" s="137">
        <v>0</v>
      </c>
      <c r="T146" s="138">
        <f>S146*H146</f>
        <v>0</v>
      </c>
      <c r="AR146" s="139" t="s">
        <v>189</v>
      </c>
      <c r="AT146" s="139" t="s">
        <v>410</v>
      </c>
      <c r="AU146" s="139" t="s">
        <v>86</v>
      </c>
      <c r="AY146" s="18" t="s">
        <v>144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84</v>
      </c>
      <c r="BK146" s="140">
        <f>ROUND(I146*H146,2)</f>
        <v>0</v>
      </c>
      <c r="BL146" s="18" t="s">
        <v>166</v>
      </c>
      <c r="BM146" s="139" t="s">
        <v>1225</v>
      </c>
    </row>
    <row r="147" spans="2:65" s="1" customFormat="1" ht="42.6" customHeight="1">
      <c r="B147" s="33"/>
      <c r="C147" s="128" t="s">
        <v>360</v>
      </c>
      <c r="D147" s="128" t="s">
        <v>147</v>
      </c>
      <c r="E147" s="129" t="s">
        <v>1226</v>
      </c>
      <c r="F147" s="130" t="s">
        <v>1227</v>
      </c>
      <c r="G147" s="131" t="s">
        <v>246</v>
      </c>
      <c r="H147" s="132">
        <v>3</v>
      </c>
      <c r="I147" s="133"/>
      <c r="J147" s="134">
        <f>ROUND(I147*H147,2)</f>
        <v>0</v>
      </c>
      <c r="K147" s="130" t="s">
        <v>151</v>
      </c>
      <c r="L147" s="33"/>
      <c r="M147" s="135" t="s">
        <v>19</v>
      </c>
      <c r="N147" s="136" t="s">
        <v>47</v>
      </c>
      <c r="P147" s="137">
        <f>O147*H147</f>
        <v>0</v>
      </c>
      <c r="Q147" s="137">
        <v>0.00158</v>
      </c>
      <c r="R147" s="137">
        <f>Q147*H147</f>
        <v>0.00474</v>
      </c>
      <c r="S147" s="137">
        <v>0</v>
      </c>
      <c r="T147" s="138">
        <f>S147*H147</f>
        <v>0</v>
      </c>
      <c r="AR147" s="139" t="s">
        <v>166</v>
      </c>
      <c r="AT147" s="139" t="s">
        <v>147</v>
      </c>
      <c r="AU147" s="139" t="s">
        <v>86</v>
      </c>
      <c r="AY147" s="18" t="s">
        <v>144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8" t="s">
        <v>84</v>
      </c>
      <c r="BK147" s="140">
        <f>ROUND(I147*H147,2)</f>
        <v>0</v>
      </c>
      <c r="BL147" s="18" t="s">
        <v>166</v>
      </c>
      <c r="BM147" s="139" t="s">
        <v>1228</v>
      </c>
    </row>
    <row r="148" spans="2:47" s="1" customFormat="1" ht="12">
      <c r="B148" s="33"/>
      <c r="D148" s="141" t="s">
        <v>154</v>
      </c>
      <c r="F148" s="142" t="s">
        <v>1229</v>
      </c>
      <c r="I148" s="143"/>
      <c r="L148" s="33"/>
      <c r="M148" s="144"/>
      <c r="T148" s="54"/>
      <c r="AT148" s="18" t="s">
        <v>154</v>
      </c>
      <c r="AU148" s="18" t="s">
        <v>86</v>
      </c>
    </row>
    <row r="149" spans="2:63" s="11" customFormat="1" ht="22.8" customHeight="1">
      <c r="B149" s="116"/>
      <c r="D149" s="117" t="s">
        <v>75</v>
      </c>
      <c r="E149" s="126" t="s">
        <v>930</v>
      </c>
      <c r="F149" s="126" t="s">
        <v>931</v>
      </c>
      <c r="I149" s="119"/>
      <c r="J149" s="127">
        <f>BK149</f>
        <v>0</v>
      </c>
      <c r="L149" s="116"/>
      <c r="M149" s="121"/>
      <c r="P149" s="122">
        <f>SUM(P150:P151)</f>
        <v>0</v>
      </c>
      <c r="R149" s="122">
        <f>SUM(R150:R151)</f>
        <v>0</v>
      </c>
      <c r="T149" s="123">
        <f>SUM(T150:T151)</f>
        <v>0</v>
      </c>
      <c r="AR149" s="117" t="s">
        <v>84</v>
      </c>
      <c r="AT149" s="124" t="s">
        <v>75</v>
      </c>
      <c r="AU149" s="124" t="s">
        <v>84</v>
      </c>
      <c r="AY149" s="117" t="s">
        <v>144</v>
      </c>
      <c r="BK149" s="125">
        <f>SUM(BK150:BK151)</f>
        <v>0</v>
      </c>
    </row>
    <row r="150" spans="2:65" s="1" customFormat="1" ht="42.6" customHeight="1">
      <c r="B150" s="33"/>
      <c r="C150" s="128" t="s">
        <v>7</v>
      </c>
      <c r="D150" s="128" t="s">
        <v>147</v>
      </c>
      <c r="E150" s="129" t="s">
        <v>1230</v>
      </c>
      <c r="F150" s="130" t="s">
        <v>1231</v>
      </c>
      <c r="G150" s="131" t="s">
        <v>413</v>
      </c>
      <c r="H150" s="132">
        <v>424.776</v>
      </c>
      <c r="I150" s="133"/>
      <c r="J150" s="134">
        <f>ROUND(I150*H150,2)</f>
        <v>0</v>
      </c>
      <c r="K150" s="130" t="s">
        <v>151</v>
      </c>
      <c r="L150" s="33"/>
      <c r="M150" s="135" t="s">
        <v>19</v>
      </c>
      <c r="N150" s="136" t="s">
        <v>47</v>
      </c>
      <c r="P150" s="137">
        <f>O150*H150</f>
        <v>0</v>
      </c>
      <c r="Q150" s="137">
        <v>0</v>
      </c>
      <c r="R150" s="137">
        <f>Q150*H150</f>
        <v>0</v>
      </c>
      <c r="S150" s="137">
        <v>0</v>
      </c>
      <c r="T150" s="138">
        <f>S150*H150</f>
        <v>0</v>
      </c>
      <c r="AR150" s="139" t="s">
        <v>166</v>
      </c>
      <c r="AT150" s="139" t="s">
        <v>147</v>
      </c>
      <c r="AU150" s="139" t="s">
        <v>86</v>
      </c>
      <c r="AY150" s="18" t="s">
        <v>144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8" t="s">
        <v>84</v>
      </c>
      <c r="BK150" s="140">
        <f>ROUND(I150*H150,2)</f>
        <v>0</v>
      </c>
      <c r="BL150" s="18" t="s">
        <v>166</v>
      </c>
      <c r="BM150" s="139" t="s">
        <v>1232</v>
      </c>
    </row>
    <row r="151" spans="2:47" s="1" customFormat="1" ht="12">
      <c r="B151" s="33"/>
      <c r="D151" s="141" t="s">
        <v>154</v>
      </c>
      <c r="F151" s="142" t="s">
        <v>1233</v>
      </c>
      <c r="I151" s="143"/>
      <c r="L151" s="33"/>
      <c r="M151" s="144"/>
      <c r="T151" s="54"/>
      <c r="AT151" s="18" t="s">
        <v>154</v>
      </c>
      <c r="AU151" s="18" t="s">
        <v>86</v>
      </c>
    </row>
    <row r="152" spans="2:63" s="11" customFormat="1" ht="25.8" customHeight="1">
      <c r="B152" s="116"/>
      <c r="D152" s="117" t="s">
        <v>75</v>
      </c>
      <c r="E152" s="118" t="s">
        <v>937</v>
      </c>
      <c r="F152" s="118" t="s">
        <v>938</v>
      </c>
      <c r="I152" s="119"/>
      <c r="J152" s="120">
        <f>BK152</f>
        <v>0</v>
      </c>
      <c r="L152" s="116"/>
      <c r="M152" s="121"/>
      <c r="P152" s="122">
        <f>P153</f>
        <v>0</v>
      </c>
      <c r="R152" s="122">
        <f>R153</f>
        <v>0.066</v>
      </c>
      <c r="T152" s="123">
        <f>T153</f>
        <v>0</v>
      </c>
      <c r="AR152" s="117" t="s">
        <v>86</v>
      </c>
      <c r="AT152" s="124" t="s">
        <v>75</v>
      </c>
      <c r="AU152" s="124" t="s">
        <v>76</v>
      </c>
      <c r="AY152" s="117" t="s">
        <v>144</v>
      </c>
      <c r="BK152" s="125">
        <f>BK153</f>
        <v>0</v>
      </c>
    </row>
    <row r="153" spans="2:63" s="11" customFormat="1" ht="22.8" customHeight="1">
      <c r="B153" s="116"/>
      <c r="D153" s="117" t="s">
        <v>75</v>
      </c>
      <c r="E153" s="126" t="s">
        <v>1234</v>
      </c>
      <c r="F153" s="126" t="s">
        <v>1235</v>
      </c>
      <c r="I153" s="119"/>
      <c r="J153" s="127">
        <f>BK153</f>
        <v>0</v>
      </c>
      <c r="L153" s="116"/>
      <c r="M153" s="121"/>
      <c r="P153" s="122">
        <f>SUM(P154:P157)</f>
        <v>0</v>
      </c>
      <c r="R153" s="122">
        <f>SUM(R154:R157)</f>
        <v>0.066</v>
      </c>
      <c r="T153" s="123">
        <f>SUM(T154:T157)</f>
        <v>0</v>
      </c>
      <c r="AR153" s="117" t="s">
        <v>86</v>
      </c>
      <c r="AT153" s="124" t="s">
        <v>75</v>
      </c>
      <c r="AU153" s="124" t="s">
        <v>84</v>
      </c>
      <c r="AY153" s="117" t="s">
        <v>144</v>
      </c>
      <c r="BK153" s="125">
        <f>SUM(BK154:BK157)</f>
        <v>0</v>
      </c>
    </row>
    <row r="154" spans="2:65" s="1" customFormat="1" ht="31.95" customHeight="1">
      <c r="B154" s="33"/>
      <c r="C154" s="128" t="s">
        <v>377</v>
      </c>
      <c r="D154" s="128" t="s">
        <v>147</v>
      </c>
      <c r="E154" s="129" t="s">
        <v>1236</v>
      </c>
      <c r="F154" s="130" t="s">
        <v>1237</v>
      </c>
      <c r="G154" s="131" t="s">
        <v>246</v>
      </c>
      <c r="H154" s="132">
        <v>160</v>
      </c>
      <c r="I154" s="133"/>
      <c r="J154" s="134">
        <f>ROUND(I154*H154,2)</f>
        <v>0</v>
      </c>
      <c r="K154" s="130" t="s">
        <v>151</v>
      </c>
      <c r="L154" s="33"/>
      <c r="M154" s="135" t="s">
        <v>19</v>
      </c>
      <c r="N154" s="136" t="s">
        <v>47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330</v>
      </c>
      <c r="AT154" s="139" t="s">
        <v>147</v>
      </c>
      <c r="AU154" s="139" t="s">
        <v>86</v>
      </c>
      <c r="AY154" s="18" t="s">
        <v>144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8" t="s">
        <v>84</v>
      </c>
      <c r="BK154" s="140">
        <f>ROUND(I154*H154,2)</f>
        <v>0</v>
      </c>
      <c r="BL154" s="18" t="s">
        <v>330</v>
      </c>
      <c r="BM154" s="139" t="s">
        <v>1238</v>
      </c>
    </row>
    <row r="155" spans="2:47" s="1" customFormat="1" ht="12">
      <c r="B155" s="33"/>
      <c r="D155" s="141" t="s">
        <v>154</v>
      </c>
      <c r="F155" s="142" t="s">
        <v>1239</v>
      </c>
      <c r="I155" s="143"/>
      <c r="L155" s="33"/>
      <c r="M155" s="144"/>
      <c r="T155" s="54"/>
      <c r="AT155" s="18" t="s">
        <v>154</v>
      </c>
      <c r="AU155" s="18" t="s">
        <v>86</v>
      </c>
    </row>
    <row r="156" spans="2:65" s="1" customFormat="1" ht="15" customHeight="1">
      <c r="B156" s="33"/>
      <c r="C156" s="172" t="s">
        <v>384</v>
      </c>
      <c r="D156" s="172" t="s">
        <v>410</v>
      </c>
      <c r="E156" s="173" t="s">
        <v>1240</v>
      </c>
      <c r="F156" s="174" t="s">
        <v>1241</v>
      </c>
      <c r="G156" s="175" t="s">
        <v>413</v>
      </c>
      <c r="H156" s="176">
        <v>0.066</v>
      </c>
      <c r="I156" s="177"/>
      <c r="J156" s="178">
        <f>ROUND(I156*H156,2)</f>
        <v>0</v>
      </c>
      <c r="K156" s="174" t="s">
        <v>151</v>
      </c>
      <c r="L156" s="179"/>
      <c r="M156" s="180" t="s">
        <v>19</v>
      </c>
      <c r="N156" s="181" t="s">
        <v>47</v>
      </c>
      <c r="P156" s="137">
        <f>O156*H156</f>
        <v>0</v>
      </c>
      <c r="Q156" s="137">
        <v>1</v>
      </c>
      <c r="R156" s="137">
        <f>Q156*H156</f>
        <v>0.066</v>
      </c>
      <c r="S156" s="137">
        <v>0</v>
      </c>
      <c r="T156" s="138">
        <f>S156*H156</f>
        <v>0</v>
      </c>
      <c r="AR156" s="139" t="s">
        <v>447</v>
      </c>
      <c r="AT156" s="139" t="s">
        <v>410</v>
      </c>
      <c r="AU156" s="139" t="s">
        <v>86</v>
      </c>
      <c r="AY156" s="18" t="s">
        <v>144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84</v>
      </c>
      <c r="BK156" s="140">
        <f>ROUND(I156*H156,2)</f>
        <v>0</v>
      </c>
      <c r="BL156" s="18" t="s">
        <v>330</v>
      </c>
      <c r="BM156" s="139" t="s">
        <v>1242</v>
      </c>
    </row>
    <row r="157" spans="2:51" s="12" customFormat="1" ht="12">
      <c r="B157" s="152"/>
      <c r="D157" s="145" t="s">
        <v>249</v>
      </c>
      <c r="F157" s="154" t="s">
        <v>1243</v>
      </c>
      <c r="H157" s="155">
        <v>0.066</v>
      </c>
      <c r="I157" s="156"/>
      <c r="L157" s="152"/>
      <c r="M157" s="194"/>
      <c r="N157" s="195"/>
      <c r="O157" s="195"/>
      <c r="P157" s="195"/>
      <c r="Q157" s="195"/>
      <c r="R157" s="195"/>
      <c r="S157" s="195"/>
      <c r="T157" s="196"/>
      <c r="AT157" s="153" t="s">
        <v>249</v>
      </c>
      <c r="AU157" s="153" t="s">
        <v>86</v>
      </c>
      <c r="AV157" s="12" t="s">
        <v>86</v>
      </c>
      <c r="AW157" s="12" t="s">
        <v>4</v>
      </c>
      <c r="AX157" s="12" t="s">
        <v>84</v>
      </c>
      <c r="AY157" s="153" t="s">
        <v>144</v>
      </c>
    </row>
    <row r="158" spans="2:12" s="1" customFormat="1" ht="6.9" customHeight="1"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33"/>
    </row>
  </sheetData>
  <sheetProtection algorithmName="SHA-512" hashValue="kcDHAYpv/WdN6WD3NL5fF7AD4TImBkhnnKwtk+PX7Vi5rlXvHvVJBlrTrGIx93vs2h/4jjIZ9T9RZY1twIASGQ==" saltValue="T3YOfyHuv6UeksnL+jEvWDFj0GQrFmFekdnYzzKNOJC3XyzQW010kFR068CoCnEEv5/d05Zq61haXgOm73DB4Q==" spinCount="100000" sheet="1" objects="1" scenarios="1" formatColumns="0" formatRows="0" autoFilter="0"/>
  <autoFilter ref="C88:K15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2/181951112"/>
    <hyperlink ref="F98" r:id="rId2" display="https://podminky.urs.cz/item/CS_URS_2021_02/211521111"/>
    <hyperlink ref="F103" r:id="rId3" display="https://podminky.urs.cz/item/CS_URS_2022_02/212792211"/>
    <hyperlink ref="F107" r:id="rId4" display="https://podminky.urs.cz/item/CS_URS_2022_02/212972112"/>
    <hyperlink ref="F110" r:id="rId5" display="https://podminky.urs.cz/item/CS_URS_2022_02/226112113"/>
    <hyperlink ref="F112" r:id="rId6" display="https://podminky.urs.cz/item/CS_URS_2022_02/227211113"/>
    <hyperlink ref="F114" r:id="rId7" display="https://podminky.urs.cz/item/CS_URS_2022_02/231212112"/>
    <hyperlink ref="F119" r:id="rId8" display="https://podminky.urs.cz/item/CS_URS_2022_02/231611114"/>
    <hyperlink ref="F121" r:id="rId9" display="https://podminky.urs.cz/item/CS_URS_2022_02/274313911"/>
    <hyperlink ref="F125" r:id="rId10" display="https://podminky.urs.cz/item/CS_URS_2022_02/311322611"/>
    <hyperlink ref="F128" r:id="rId11" display="https://podminky.urs.cz/item/CS_URS_2022_02/311351121"/>
    <hyperlink ref="F130" r:id="rId12" display="https://podminky.urs.cz/item/CS_URS_2022_02/311351122"/>
    <hyperlink ref="F132" r:id="rId13" display="https://podminky.urs.cz/item/CS_URS_2022_02/311361821"/>
    <hyperlink ref="F134" r:id="rId14" display="https://podminky.urs.cz/item/CS_URS_2022_02/311362021"/>
    <hyperlink ref="F137" r:id="rId15" display="https://podminky.urs.cz/item/CS_URS_2022_02/451315124"/>
    <hyperlink ref="F142" r:id="rId16" display="https://podminky.urs.cz/item/CS_URS_2022_02/895211131"/>
    <hyperlink ref="F145" r:id="rId17" display="https://podminky.urs.cz/item/CS_URS_2022_02/953241111"/>
    <hyperlink ref="F148" r:id="rId18" display="https://podminky.urs.cz/item/CS_URS_2022_02/953312125"/>
    <hyperlink ref="F151" r:id="rId19" display="https://podminky.urs.cz/item/CS_URS_2022_02/998212111"/>
    <hyperlink ref="F155" r:id="rId20" display="https://podminky.urs.cz/item/CS_URS_2022_02/7111120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0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56" ht="36.9" customHeight="1"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AT2" s="18" t="s">
        <v>98</v>
      </c>
      <c r="AZ2" s="197" t="s">
        <v>1244</v>
      </c>
      <c r="BA2" s="197" t="s">
        <v>1245</v>
      </c>
      <c r="BB2" s="197" t="s">
        <v>246</v>
      </c>
      <c r="BC2" s="197" t="s">
        <v>732</v>
      </c>
      <c r="BD2" s="197" t="s">
        <v>86</v>
      </c>
    </row>
    <row r="3" spans="2:5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197" t="s">
        <v>1246</v>
      </c>
      <c r="BA3" s="197" t="s">
        <v>1247</v>
      </c>
      <c r="BB3" s="197" t="s">
        <v>324</v>
      </c>
      <c r="BC3" s="197" t="s">
        <v>1248</v>
      </c>
      <c r="BD3" s="197" t="s">
        <v>86</v>
      </c>
    </row>
    <row r="4" spans="2:56" ht="24.9" customHeight="1">
      <c r="B4" s="21"/>
      <c r="D4" s="22" t="s">
        <v>117</v>
      </c>
      <c r="L4" s="21"/>
      <c r="M4" s="86" t="s">
        <v>10</v>
      </c>
      <c r="AT4" s="18" t="s">
        <v>4</v>
      </c>
      <c r="AZ4" s="197" t="s">
        <v>1249</v>
      </c>
      <c r="BA4" s="197" t="s">
        <v>1250</v>
      </c>
      <c r="BB4" s="197" t="s">
        <v>324</v>
      </c>
      <c r="BC4" s="197" t="s">
        <v>1251</v>
      </c>
      <c r="BD4" s="197" t="s">
        <v>86</v>
      </c>
    </row>
    <row r="5" spans="2:56" ht="6.9" customHeight="1">
      <c r="B5" s="21"/>
      <c r="L5" s="21"/>
      <c r="AZ5" s="197" t="s">
        <v>1252</v>
      </c>
      <c r="BA5" s="197" t="s">
        <v>1253</v>
      </c>
      <c r="BB5" s="197" t="s">
        <v>324</v>
      </c>
      <c r="BC5" s="197" t="s">
        <v>1254</v>
      </c>
      <c r="BD5" s="197" t="s">
        <v>86</v>
      </c>
    </row>
    <row r="6" spans="2:56" ht="12" customHeight="1">
      <c r="B6" s="21"/>
      <c r="D6" s="28" t="s">
        <v>16</v>
      </c>
      <c r="L6" s="21"/>
      <c r="AZ6" s="197" t="s">
        <v>1255</v>
      </c>
      <c r="BA6" s="197" t="s">
        <v>1256</v>
      </c>
      <c r="BB6" s="197" t="s">
        <v>246</v>
      </c>
      <c r="BC6" s="197" t="s">
        <v>1257</v>
      </c>
      <c r="BD6" s="197" t="s">
        <v>86</v>
      </c>
    </row>
    <row r="7" spans="2:56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  <c r="AZ7" s="197" t="s">
        <v>1258</v>
      </c>
      <c r="BA7" s="197" t="s">
        <v>1259</v>
      </c>
      <c r="BB7" s="197" t="s">
        <v>324</v>
      </c>
      <c r="BC7" s="197" t="s">
        <v>1260</v>
      </c>
      <c r="BD7" s="197" t="s">
        <v>86</v>
      </c>
    </row>
    <row r="8" spans="2:56" s="1" customFormat="1" ht="12" customHeight="1">
      <c r="B8" s="33"/>
      <c r="D8" s="28" t="s">
        <v>118</v>
      </c>
      <c r="L8" s="33"/>
      <c r="AZ8" s="197" t="s">
        <v>1261</v>
      </c>
      <c r="BA8" s="197" t="s">
        <v>1262</v>
      </c>
      <c r="BB8" s="197" t="s">
        <v>324</v>
      </c>
      <c r="BC8" s="197" t="s">
        <v>1263</v>
      </c>
      <c r="BD8" s="197" t="s">
        <v>86</v>
      </c>
    </row>
    <row r="9" spans="2:56" s="1" customFormat="1" ht="15" customHeight="1">
      <c r="B9" s="33"/>
      <c r="E9" s="489" t="s">
        <v>1264</v>
      </c>
      <c r="F9" s="495"/>
      <c r="G9" s="495"/>
      <c r="H9" s="495"/>
      <c r="L9" s="33"/>
      <c r="AZ9" s="197" t="s">
        <v>1265</v>
      </c>
      <c r="BA9" s="197" t="s">
        <v>1266</v>
      </c>
      <c r="BB9" s="197" t="s">
        <v>324</v>
      </c>
      <c r="BC9" s="197" t="s">
        <v>1267</v>
      </c>
      <c r="BD9" s="197" t="s">
        <v>86</v>
      </c>
    </row>
    <row r="10" spans="2:56" s="1" customFormat="1" ht="12">
      <c r="B10" s="33"/>
      <c r="L10" s="33"/>
      <c r="AZ10" s="197" t="s">
        <v>1268</v>
      </c>
      <c r="BA10" s="197" t="s">
        <v>1269</v>
      </c>
      <c r="BB10" s="197" t="s">
        <v>324</v>
      </c>
      <c r="BC10" s="197" t="s">
        <v>1270</v>
      </c>
      <c r="BD10" s="197" t="s">
        <v>86</v>
      </c>
    </row>
    <row r="11" spans="2:56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  <c r="AZ11" s="197" t="s">
        <v>1271</v>
      </c>
      <c r="BA11" s="197" t="s">
        <v>399</v>
      </c>
      <c r="BB11" s="197" t="s">
        <v>324</v>
      </c>
      <c r="BC11" s="197" t="s">
        <v>1272</v>
      </c>
      <c r="BD11" s="197" t="s">
        <v>162</v>
      </c>
    </row>
    <row r="12" spans="2:56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  <c r="AZ12" s="197" t="s">
        <v>1273</v>
      </c>
      <c r="BA12" s="197" t="s">
        <v>1274</v>
      </c>
      <c r="BB12" s="197" t="s">
        <v>246</v>
      </c>
      <c r="BC12" s="197" t="s">
        <v>800</v>
      </c>
      <c r="BD12" s="197" t="s">
        <v>86</v>
      </c>
    </row>
    <row r="13" spans="2:56" s="1" customFormat="1" ht="10.8" customHeight="1">
      <c r="B13" s="33"/>
      <c r="L13" s="33"/>
      <c r="AZ13" s="197" t="s">
        <v>1275</v>
      </c>
      <c r="BA13" s="197" t="s">
        <v>1276</v>
      </c>
      <c r="BB13" s="197" t="s">
        <v>19</v>
      </c>
      <c r="BC13" s="197" t="s">
        <v>1277</v>
      </c>
      <c r="BD13" s="197" t="s">
        <v>86</v>
      </c>
    </row>
    <row r="14" spans="2:56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  <c r="AZ14" s="197" t="s">
        <v>1278</v>
      </c>
      <c r="BA14" s="197" t="s">
        <v>1279</v>
      </c>
      <c r="BB14" s="197" t="s">
        <v>1280</v>
      </c>
      <c r="BC14" s="197" t="s">
        <v>848</v>
      </c>
      <c r="BD14" s="197" t="s">
        <v>86</v>
      </c>
    </row>
    <row r="15" spans="2:56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  <c r="AZ15" s="197" t="s">
        <v>1281</v>
      </c>
      <c r="BA15" s="197" t="s">
        <v>1282</v>
      </c>
      <c r="BB15" s="197" t="s">
        <v>19</v>
      </c>
      <c r="BC15" s="197" t="s">
        <v>780</v>
      </c>
      <c r="BD15" s="197" t="s">
        <v>86</v>
      </c>
    </row>
    <row r="16" spans="2:56" s="1" customFormat="1" ht="6.9" customHeight="1">
      <c r="B16" s="33"/>
      <c r="L16" s="33"/>
      <c r="AZ16" s="197" t="s">
        <v>1283</v>
      </c>
      <c r="BA16" s="197" t="s">
        <v>1284</v>
      </c>
      <c r="BB16" s="197" t="s">
        <v>308</v>
      </c>
      <c r="BC16" s="197" t="s">
        <v>523</v>
      </c>
      <c r="BD16" s="197" t="s">
        <v>86</v>
      </c>
    </row>
    <row r="17" spans="2:56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  <c r="AZ17" s="197" t="s">
        <v>1285</v>
      </c>
      <c r="BA17" s="197" t="s">
        <v>1286</v>
      </c>
      <c r="BB17" s="197" t="s">
        <v>308</v>
      </c>
      <c r="BC17" s="197" t="s">
        <v>1287</v>
      </c>
      <c r="BD17" s="197" t="s">
        <v>86</v>
      </c>
    </row>
    <row r="18" spans="2:12" s="1" customFormat="1" ht="18" customHeight="1">
      <c r="B18" s="33"/>
      <c r="E18" s="498" t="str">
        <f>'Rekapitulace stavby'!E14</f>
        <v>Vyplň údaj</v>
      </c>
      <c r="F18" s="466"/>
      <c r="G18" s="466"/>
      <c r="H18" s="46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71" t="s">
        <v>19</v>
      </c>
      <c r="F27" s="471"/>
      <c r="G27" s="471"/>
      <c r="H27" s="471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ROUND(J86,2)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ROUND((SUM(BE86:BE339)),2)</f>
        <v>0</v>
      </c>
      <c r="I33" s="90">
        <v>0.21</v>
      </c>
      <c r="J33" s="89">
        <f>ROUND(((SUM(BE86:BE339))*I33),2)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ROUND((SUM(BF86:BF339)),2)</f>
        <v>0</v>
      </c>
      <c r="I34" s="90">
        <v>0.15</v>
      </c>
      <c r="J34" s="89">
        <f>ROUND(((SUM(BF86:BF339))*I34),2)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ROUND((SUM(BG86:BG339)),2)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ROUND((SUM(BH86:BH339)),2)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ROUND((SUM(BI86:BI339)),2)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89" t="str">
        <f>E9</f>
        <v>SO 300 - Kanalizace dešťová</v>
      </c>
      <c r="F50" s="495"/>
      <c r="G50" s="495"/>
      <c r="H50" s="495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J86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J87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J88</f>
        <v>0</v>
      </c>
      <c r="L61" s="104"/>
    </row>
    <row r="62" spans="2:12" s="9" customFormat="1" ht="19.95" customHeight="1">
      <c r="B62" s="104"/>
      <c r="D62" s="105" t="s">
        <v>232</v>
      </c>
      <c r="E62" s="106"/>
      <c r="F62" s="106"/>
      <c r="G62" s="106"/>
      <c r="H62" s="106"/>
      <c r="I62" s="106"/>
      <c r="J62" s="107">
        <f>J166</f>
        <v>0</v>
      </c>
      <c r="L62" s="104"/>
    </row>
    <row r="63" spans="2:12" s="9" customFormat="1" ht="19.95" customHeight="1">
      <c r="B63" s="104"/>
      <c r="D63" s="105" t="s">
        <v>949</v>
      </c>
      <c r="E63" s="106"/>
      <c r="F63" s="106"/>
      <c r="G63" s="106"/>
      <c r="H63" s="106"/>
      <c r="I63" s="106"/>
      <c r="J63" s="107">
        <f>J178</f>
        <v>0</v>
      </c>
      <c r="L63" s="104"/>
    </row>
    <row r="64" spans="2:12" s="9" customFormat="1" ht="19.95" customHeight="1">
      <c r="B64" s="104"/>
      <c r="D64" s="105" t="s">
        <v>233</v>
      </c>
      <c r="E64" s="106"/>
      <c r="F64" s="106"/>
      <c r="G64" s="106"/>
      <c r="H64" s="106"/>
      <c r="I64" s="106"/>
      <c r="J64" s="107">
        <f>J182</f>
        <v>0</v>
      </c>
      <c r="L64" s="104"/>
    </row>
    <row r="65" spans="2:12" s="9" customFormat="1" ht="19.95" customHeight="1">
      <c r="B65" s="104"/>
      <c r="D65" s="105" t="s">
        <v>235</v>
      </c>
      <c r="E65" s="106"/>
      <c r="F65" s="106"/>
      <c r="G65" s="106"/>
      <c r="H65" s="106"/>
      <c r="I65" s="106"/>
      <c r="J65" s="107">
        <f>J225</f>
        <v>0</v>
      </c>
      <c r="L65" s="104"/>
    </row>
    <row r="66" spans="2:12" s="9" customFormat="1" ht="19.95" customHeight="1">
      <c r="B66" s="104"/>
      <c r="D66" s="105" t="s">
        <v>238</v>
      </c>
      <c r="E66" s="106"/>
      <c r="F66" s="106"/>
      <c r="G66" s="106"/>
      <c r="H66" s="106"/>
      <c r="I66" s="106"/>
      <c r="J66" s="107">
        <f>J337</f>
        <v>0</v>
      </c>
      <c r="L66" s="104"/>
    </row>
    <row r="67" spans="2:12" s="1" customFormat="1" ht="21.75" customHeight="1">
      <c r="B67" s="33"/>
      <c r="L67" s="33"/>
    </row>
    <row r="68" spans="2:12" s="1" customFormat="1" ht="6.9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33"/>
    </row>
    <row r="72" spans="2:12" s="1" customFormat="1" ht="6.9" customHeight="1">
      <c r="B72" s="44"/>
      <c r="C72" s="45"/>
      <c r="D72" s="45"/>
      <c r="E72" s="45"/>
      <c r="F72" s="45"/>
      <c r="G72" s="45"/>
      <c r="H72" s="45"/>
      <c r="I72" s="45"/>
      <c r="J72" s="45"/>
      <c r="K72" s="45"/>
      <c r="L72" s="33"/>
    </row>
    <row r="73" spans="2:12" s="1" customFormat="1" ht="24.9" customHeight="1">
      <c r="B73" s="33"/>
      <c r="C73" s="22" t="s">
        <v>129</v>
      </c>
      <c r="L73" s="33"/>
    </row>
    <row r="74" spans="2:12" s="1" customFormat="1" ht="6.9" customHeight="1">
      <c r="B74" s="33"/>
      <c r="L74" s="33"/>
    </row>
    <row r="75" spans="2:12" s="1" customFormat="1" ht="12" customHeight="1">
      <c r="B75" s="33"/>
      <c r="C75" s="28" t="s">
        <v>16</v>
      </c>
      <c r="L75" s="33"/>
    </row>
    <row r="76" spans="2:12" s="1" customFormat="1" ht="27" customHeight="1">
      <c r="B76" s="33"/>
      <c r="E76" s="496" t="str">
        <f>E7</f>
        <v>REGENERACE PANELOVÉHO SÍDLIŠTĚ PRIEVIDZSKÁ - 7.ETAPA</v>
      </c>
      <c r="F76" s="497"/>
      <c r="G76" s="497"/>
      <c r="H76" s="497"/>
      <c r="L76" s="33"/>
    </row>
    <row r="77" spans="2:12" s="1" customFormat="1" ht="12" customHeight="1">
      <c r="B77" s="33"/>
      <c r="C77" s="28" t="s">
        <v>118</v>
      </c>
      <c r="L77" s="33"/>
    </row>
    <row r="78" spans="2:12" s="1" customFormat="1" ht="15" customHeight="1">
      <c r="B78" s="33"/>
      <c r="E78" s="489" t="str">
        <f>E9</f>
        <v>SO 300 - Kanalizace dešťová</v>
      </c>
      <c r="F78" s="495"/>
      <c r="G78" s="495"/>
      <c r="H78" s="495"/>
      <c r="L78" s="33"/>
    </row>
    <row r="79" spans="2:12" s="1" customFormat="1" ht="6.9" customHeight="1">
      <c r="B79" s="33"/>
      <c r="L79" s="33"/>
    </row>
    <row r="80" spans="2:12" s="1" customFormat="1" ht="12" customHeight="1">
      <c r="B80" s="33"/>
      <c r="C80" s="28" t="s">
        <v>21</v>
      </c>
      <c r="F80" s="26" t="str">
        <f>F12</f>
        <v xml:space="preserve"> </v>
      </c>
      <c r="I80" s="28" t="s">
        <v>23</v>
      </c>
      <c r="J80" s="50" t="str">
        <f>IF(J12="","",J12)</f>
        <v>22. 10. 2022</v>
      </c>
      <c r="L80" s="33"/>
    </row>
    <row r="81" spans="2:12" s="1" customFormat="1" ht="6.9" customHeight="1">
      <c r="B81" s="33"/>
      <c r="L81" s="33"/>
    </row>
    <row r="82" spans="2:12" s="1" customFormat="1" ht="14.85" customHeight="1">
      <c r="B82" s="33"/>
      <c r="C82" s="28" t="s">
        <v>25</v>
      </c>
      <c r="F82" s="26" t="str">
        <f>E15</f>
        <v>Město Šumperk</v>
      </c>
      <c r="I82" s="28" t="s">
        <v>33</v>
      </c>
      <c r="J82" s="31" t="str">
        <f>E21</f>
        <v>Ateliér DPK, s.r.o.</v>
      </c>
      <c r="L82" s="33"/>
    </row>
    <row r="83" spans="2:12" s="1" customFormat="1" ht="14.85" customHeight="1">
      <c r="B83" s="33"/>
      <c r="C83" s="28" t="s">
        <v>31</v>
      </c>
      <c r="F83" s="26" t="str">
        <f>IF(E18="","",E18)</f>
        <v>Vyplň údaj</v>
      </c>
      <c r="I83" s="28" t="s">
        <v>38</v>
      </c>
      <c r="J83" s="31" t="str">
        <f>E24</f>
        <v xml:space="preserve"> </v>
      </c>
      <c r="L83" s="33"/>
    </row>
    <row r="84" spans="2:12" s="1" customFormat="1" ht="10.35" customHeight="1">
      <c r="B84" s="33"/>
      <c r="L84" s="33"/>
    </row>
    <row r="85" spans="2:20" s="10" customFormat="1" ht="29.25" customHeight="1">
      <c r="B85" s="108"/>
      <c r="C85" s="109" t="s">
        <v>130</v>
      </c>
      <c r="D85" s="110" t="s">
        <v>61</v>
      </c>
      <c r="E85" s="110" t="s">
        <v>57</v>
      </c>
      <c r="F85" s="110" t="s">
        <v>58</v>
      </c>
      <c r="G85" s="110" t="s">
        <v>131</v>
      </c>
      <c r="H85" s="110" t="s">
        <v>132</v>
      </c>
      <c r="I85" s="110" t="s">
        <v>133</v>
      </c>
      <c r="J85" s="110" t="s">
        <v>122</v>
      </c>
      <c r="K85" s="111" t="s">
        <v>134</v>
      </c>
      <c r="L85" s="108"/>
      <c r="M85" s="57" t="s">
        <v>19</v>
      </c>
      <c r="N85" s="58" t="s">
        <v>46</v>
      </c>
      <c r="O85" s="58" t="s">
        <v>135</v>
      </c>
      <c r="P85" s="58" t="s">
        <v>136</v>
      </c>
      <c r="Q85" s="58" t="s">
        <v>137</v>
      </c>
      <c r="R85" s="58" t="s">
        <v>138</v>
      </c>
      <c r="S85" s="58" t="s">
        <v>139</v>
      </c>
      <c r="T85" s="59" t="s">
        <v>140</v>
      </c>
    </row>
    <row r="86" spans="2:63" s="1" customFormat="1" ht="22.8" customHeight="1">
      <c r="B86" s="33"/>
      <c r="C86" s="62" t="s">
        <v>141</v>
      </c>
      <c r="J86" s="112">
        <f>BK86</f>
        <v>0</v>
      </c>
      <c r="L86" s="33"/>
      <c r="M86" s="60"/>
      <c r="N86" s="51"/>
      <c r="O86" s="51"/>
      <c r="P86" s="113">
        <f>P87</f>
        <v>0</v>
      </c>
      <c r="Q86" s="51"/>
      <c r="R86" s="113">
        <f>R87</f>
        <v>1468.13655996886</v>
      </c>
      <c r="S86" s="51"/>
      <c r="T86" s="114">
        <f>T87</f>
        <v>0</v>
      </c>
      <c r="AT86" s="18" t="s">
        <v>75</v>
      </c>
      <c r="AU86" s="18" t="s">
        <v>123</v>
      </c>
      <c r="BK86" s="115">
        <f>BK87</f>
        <v>0</v>
      </c>
    </row>
    <row r="87" spans="2:63" s="11" customFormat="1" ht="25.8" customHeight="1">
      <c r="B87" s="116"/>
      <c r="D87" s="117" t="s">
        <v>75</v>
      </c>
      <c r="E87" s="118" t="s">
        <v>241</v>
      </c>
      <c r="F87" s="118" t="s">
        <v>242</v>
      </c>
      <c r="I87" s="119"/>
      <c r="J87" s="120">
        <f>BK87</f>
        <v>0</v>
      </c>
      <c r="L87" s="116"/>
      <c r="M87" s="121"/>
      <c r="P87" s="122">
        <f>P88+P166+P178+P182+P225+P337</f>
        <v>0</v>
      </c>
      <c r="R87" s="122">
        <f>R88+R166+R178+R182+R225+R337</f>
        <v>1468.13655996886</v>
      </c>
      <c r="T87" s="123">
        <f>T88+T166+T178+T182+T225+T337</f>
        <v>0</v>
      </c>
      <c r="AR87" s="117" t="s">
        <v>84</v>
      </c>
      <c r="AT87" s="124" t="s">
        <v>75</v>
      </c>
      <c r="AU87" s="124" t="s">
        <v>76</v>
      </c>
      <c r="AY87" s="117" t="s">
        <v>144</v>
      </c>
      <c r="BK87" s="125">
        <f>BK88+BK166+BK178+BK182+BK225+BK337</f>
        <v>0</v>
      </c>
    </row>
    <row r="88" spans="2:63" s="11" customFormat="1" ht="22.8" customHeight="1">
      <c r="B88" s="116"/>
      <c r="D88" s="117" t="s">
        <v>75</v>
      </c>
      <c r="E88" s="126" t="s">
        <v>84</v>
      </c>
      <c r="F88" s="126" t="s">
        <v>243</v>
      </c>
      <c r="I88" s="119"/>
      <c r="J88" s="127">
        <f>BK88</f>
        <v>0</v>
      </c>
      <c r="L88" s="116"/>
      <c r="M88" s="121"/>
      <c r="P88" s="122">
        <f>SUM(P89:P165)</f>
        <v>0</v>
      </c>
      <c r="R88" s="122">
        <f>SUM(R89:R165)</f>
        <v>1219.0400995410798</v>
      </c>
      <c r="T88" s="123">
        <f>SUM(T89:T165)</f>
        <v>0</v>
      </c>
      <c r="AR88" s="117" t="s">
        <v>84</v>
      </c>
      <c r="AT88" s="124" t="s">
        <v>75</v>
      </c>
      <c r="AU88" s="124" t="s">
        <v>84</v>
      </c>
      <c r="AY88" s="117" t="s">
        <v>144</v>
      </c>
      <c r="BK88" s="125">
        <f>SUM(BK89:BK165)</f>
        <v>0</v>
      </c>
    </row>
    <row r="89" spans="2:65" s="1" customFormat="1" ht="23.7" customHeight="1">
      <c r="B89" s="33"/>
      <c r="C89" s="128" t="s">
        <v>84</v>
      </c>
      <c r="D89" s="128" t="s">
        <v>147</v>
      </c>
      <c r="E89" s="129" t="s">
        <v>1288</v>
      </c>
      <c r="F89" s="130" t="s">
        <v>1289</v>
      </c>
      <c r="G89" s="131" t="s">
        <v>1290</v>
      </c>
      <c r="H89" s="132">
        <v>250</v>
      </c>
      <c r="I89" s="133"/>
      <c r="J89" s="134">
        <f>ROUND(I89*H89,2)</f>
        <v>0</v>
      </c>
      <c r="K89" s="130" t="s">
        <v>151</v>
      </c>
      <c r="L89" s="33"/>
      <c r="M89" s="135" t="s">
        <v>19</v>
      </c>
      <c r="N89" s="136" t="s">
        <v>47</v>
      </c>
      <c r="P89" s="137">
        <f>O89*H89</f>
        <v>0</v>
      </c>
      <c r="Q89" s="137">
        <v>3.2634E-05</v>
      </c>
      <c r="R89" s="137">
        <f>Q89*H89</f>
        <v>0.008158499999999999</v>
      </c>
      <c r="S89" s="137">
        <v>0</v>
      </c>
      <c r="T89" s="138">
        <f>S89*H89</f>
        <v>0</v>
      </c>
      <c r="AR89" s="139" t="s">
        <v>166</v>
      </c>
      <c r="AT89" s="139" t="s">
        <v>147</v>
      </c>
      <c r="AU89" s="139" t="s">
        <v>86</v>
      </c>
      <c r="AY89" s="18" t="s">
        <v>144</v>
      </c>
      <c r="BE89" s="140">
        <f>IF(N89="základní",J89,0)</f>
        <v>0</v>
      </c>
      <c r="BF89" s="140">
        <f>IF(N89="snížená",J89,0)</f>
        <v>0</v>
      </c>
      <c r="BG89" s="140">
        <f>IF(N89="zákl. přenesená",J89,0)</f>
        <v>0</v>
      </c>
      <c r="BH89" s="140">
        <f>IF(N89="sníž. přenesená",J89,0)</f>
        <v>0</v>
      </c>
      <c r="BI89" s="140">
        <f>IF(N89="nulová",J89,0)</f>
        <v>0</v>
      </c>
      <c r="BJ89" s="18" t="s">
        <v>84</v>
      </c>
      <c r="BK89" s="140">
        <f>ROUND(I89*H89,2)</f>
        <v>0</v>
      </c>
      <c r="BL89" s="18" t="s">
        <v>166</v>
      </c>
      <c r="BM89" s="139" t="s">
        <v>1291</v>
      </c>
    </row>
    <row r="90" spans="2:47" s="1" customFormat="1" ht="12">
      <c r="B90" s="33"/>
      <c r="D90" s="141" t="s">
        <v>154</v>
      </c>
      <c r="F90" s="142" t="s">
        <v>1292</v>
      </c>
      <c r="I90" s="143"/>
      <c r="L90" s="33"/>
      <c r="M90" s="144"/>
      <c r="T90" s="54"/>
      <c r="AT90" s="18" t="s">
        <v>154</v>
      </c>
      <c r="AU90" s="18" t="s">
        <v>86</v>
      </c>
    </row>
    <row r="91" spans="2:65" s="1" customFormat="1" ht="23.7" customHeight="1">
      <c r="B91" s="33"/>
      <c r="C91" s="128" t="s">
        <v>86</v>
      </c>
      <c r="D91" s="128" t="s">
        <v>147</v>
      </c>
      <c r="E91" s="129" t="s">
        <v>1293</v>
      </c>
      <c r="F91" s="130" t="s">
        <v>1294</v>
      </c>
      <c r="G91" s="131" t="s">
        <v>246</v>
      </c>
      <c r="H91" s="132">
        <v>84</v>
      </c>
      <c r="I91" s="133"/>
      <c r="J91" s="134">
        <f>ROUND(I91*H91,2)</f>
        <v>0</v>
      </c>
      <c r="K91" s="130" t="s">
        <v>151</v>
      </c>
      <c r="L91" s="33"/>
      <c r="M91" s="135" t="s">
        <v>19</v>
      </c>
      <c r="N91" s="136" t="s">
        <v>47</v>
      </c>
      <c r="P91" s="137">
        <f>O91*H91</f>
        <v>0</v>
      </c>
      <c r="Q91" s="137">
        <v>0</v>
      </c>
      <c r="R91" s="137">
        <f>Q91*H91</f>
        <v>0</v>
      </c>
      <c r="S91" s="137">
        <v>0</v>
      </c>
      <c r="T91" s="138">
        <f>S91*H91</f>
        <v>0</v>
      </c>
      <c r="AR91" s="139" t="s">
        <v>166</v>
      </c>
      <c r="AT91" s="139" t="s">
        <v>147</v>
      </c>
      <c r="AU91" s="139" t="s">
        <v>86</v>
      </c>
      <c r="AY91" s="18" t="s">
        <v>144</v>
      </c>
      <c r="BE91" s="140">
        <f>IF(N91="základní",J91,0)</f>
        <v>0</v>
      </c>
      <c r="BF91" s="140">
        <f>IF(N91="snížená",J91,0)</f>
        <v>0</v>
      </c>
      <c r="BG91" s="140">
        <f>IF(N91="zákl. přenesená",J91,0)</f>
        <v>0</v>
      </c>
      <c r="BH91" s="140">
        <f>IF(N91="sníž. přenesená",J91,0)</f>
        <v>0</v>
      </c>
      <c r="BI91" s="140">
        <f>IF(N91="nulová",J91,0)</f>
        <v>0</v>
      </c>
      <c r="BJ91" s="18" t="s">
        <v>84</v>
      </c>
      <c r="BK91" s="140">
        <f>ROUND(I91*H91,2)</f>
        <v>0</v>
      </c>
      <c r="BL91" s="18" t="s">
        <v>166</v>
      </c>
      <c r="BM91" s="139" t="s">
        <v>1295</v>
      </c>
    </row>
    <row r="92" spans="2:47" s="1" customFormat="1" ht="12">
      <c r="B92" s="33"/>
      <c r="D92" s="141" t="s">
        <v>154</v>
      </c>
      <c r="F92" s="142" t="s">
        <v>1296</v>
      </c>
      <c r="I92" s="143"/>
      <c r="L92" s="33"/>
      <c r="M92" s="144"/>
      <c r="T92" s="54"/>
      <c r="AT92" s="18" t="s">
        <v>154</v>
      </c>
      <c r="AU92" s="18" t="s">
        <v>86</v>
      </c>
    </row>
    <row r="93" spans="2:51" s="12" customFormat="1" ht="12">
      <c r="B93" s="152"/>
      <c r="D93" s="145" t="s">
        <v>249</v>
      </c>
      <c r="E93" s="153" t="s">
        <v>1244</v>
      </c>
      <c r="F93" s="154" t="s">
        <v>1297</v>
      </c>
      <c r="H93" s="155">
        <v>84</v>
      </c>
      <c r="I93" s="156"/>
      <c r="L93" s="152"/>
      <c r="M93" s="157"/>
      <c r="T93" s="158"/>
      <c r="AT93" s="153" t="s">
        <v>249</v>
      </c>
      <c r="AU93" s="153" t="s">
        <v>86</v>
      </c>
      <c r="AV93" s="12" t="s">
        <v>86</v>
      </c>
      <c r="AW93" s="12" t="s">
        <v>37</v>
      </c>
      <c r="AX93" s="12" t="s">
        <v>84</v>
      </c>
      <c r="AY93" s="153" t="s">
        <v>144</v>
      </c>
    </row>
    <row r="94" spans="2:65" s="1" customFormat="1" ht="42.6" customHeight="1">
      <c r="B94" s="33"/>
      <c r="C94" s="128" t="s">
        <v>162</v>
      </c>
      <c r="D94" s="128" t="s">
        <v>147</v>
      </c>
      <c r="E94" s="129" t="s">
        <v>1298</v>
      </c>
      <c r="F94" s="130" t="s">
        <v>1299</v>
      </c>
      <c r="G94" s="131" t="s">
        <v>324</v>
      </c>
      <c r="H94" s="132">
        <v>273.42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1300</v>
      </c>
    </row>
    <row r="95" spans="2:47" s="1" customFormat="1" ht="12">
      <c r="B95" s="33"/>
      <c r="D95" s="141" t="s">
        <v>154</v>
      </c>
      <c r="F95" s="142" t="s">
        <v>1301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51" s="12" customFormat="1" ht="12">
      <c r="B96" s="152"/>
      <c r="D96" s="145" t="s">
        <v>249</v>
      </c>
      <c r="E96" s="153" t="s">
        <v>19</v>
      </c>
      <c r="F96" s="154" t="s">
        <v>1302</v>
      </c>
      <c r="H96" s="155">
        <v>273.42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51" s="13" customFormat="1" ht="12">
      <c r="B97" s="159"/>
      <c r="D97" s="145" t="s">
        <v>249</v>
      </c>
      <c r="E97" s="160" t="s">
        <v>1246</v>
      </c>
      <c r="F97" s="161" t="s">
        <v>251</v>
      </c>
      <c r="H97" s="162">
        <v>273.42</v>
      </c>
      <c r="I97" s="163"/>
      <c r="L97" s="159"/>
      <c r="M97" s="164"/>
      <c r="T97" s="165"/>
      <c r="AT97" s="160" t="s">
        <v>249</v>
      </c>
      <c r="AU97" s="160" t="s">
        <v>86</v>
      </c>
      <c r="AV97" s="13" t="s">
        <v>166</v>
      </c>
      <c r="AW97" s="13" t="s">
        <v>37</v>
      </c>
      <c r="AX97" s="13" t="s">
        <v>84</v>
      </c>
      <c r="AY97" s="160" t="s">
        <v>144</v>
      </c>
    </row>
    <row r="98" spans="2:65" s="1" customFormat="1" ht="47.4" customHeight="1">
      <c r="B98" s="33"/>
      <c r="C98" s="128" t="s">
        <v>166</v>
      </c>
      <c r="D98" s="128" t="s">
        <v>147</v>
      </c>
      <c r="E98" s="129" t="s">
        <v>1303</v>
      </c>
      <c r="F98" s="130" t="s">
        <v>1304</v>
      </c>
      <c r="G98" s="131" t="s">
        <v>324</v>
      </c>
      <c r="H98" s="132">
        <v>371.411</v>
      </c>
      <c r="I98" s="133"/>
      <c r="J98" s="134">
        <f>ROUND(I98*H98,2)</f>
        <v>0</v>
      </c>
      <c r="K98" s="130" t="s">
        <v>151</v>
      </c>
      <c r="L98" s="33"/>
      <c r="M98" s="135" t="s">
        <v>19</v>
      </c>
      <c r="N98" s="136" t="s">
        <v>47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166</v>
      </c>
      <c r="AT98" s="139" t="s">
        <v>147</v>
      </c>
      <c r="AU98" s="139" t="s">
        <v>86</v>
      </c>
      <c r="AY98" s="18" t="s">
        <v>144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84</v>
      </c>
      <c r="BK98" s="140">
        <f>ROUND(I98*H98,2)</f>
        <v>0</v>
      </c>
      <c r="BL98" s="18" t="s">
        <v>166</v>
      </c>
      <c r="BM98" s="139" t="s">
        <v>1305</v>
      </c>
    </row>
    <row r="99" spans="2:47" s="1" customFormat="1" ht="12">
      <c r="B99" s="33"/>
      <c r="D99" s="141" t="s">
        <v>154</v>
      </c>
      <c r="F99" s="142" t="s">
        <v>1306</v>
      </c>
      <c r="I99" s="143"/>
      <c r="L99" s="33"/>
      <c r="M99" s="144"/>
      <c r="T99" s="54"/>
      <c r="AT99" s="18" t="s">
        <v>154</v>
      </c>
      <c r="AU99" s="18" t="s">
        <v>86</v>
      </c>
    </row>
    <row r="100" spans="2:51" s="12" customFormat="1" ht="12">
      <c r="B100" s="152"/>
      <c r="D100" s="145" t="s">
        <v>249</v>
      </c>
      <c r="E100" s="153" t="s">
        <v>19</v>
      </c>
      <c r="F100" s="154" t="s">
        <v>1307</v>
      </c>
      <c r="H100" s="155">
        <v>262.223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51" s="12" customFormat="1" ht="12">
      <c r="B101" s="152"/>
      <c r="D101" s="145" t="s">
        <v>249</v>
      </c>
      <c r="E101" s="153" t="s">
        <v>19</v>
      </c>
      <c r="F101" s="154" t="s">
        <v>1308</v>
      </c>
      <c r="H101" s="155">
        <v>109.188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3" customFormat="1" ht="12">
      <c r="B102" s="159"/>
      <c r="D102" s="145" t="s">
        <v>249</v>
      </c>
      <c r="E102" s="160" t="s">
        <v>1249</v>
      </c>
      <c r="F102" s="161" t="s">
        <v>251</v>
      </c>
      <c r="H102" s="162">
        <v>371.411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36.6" customHeight="1">
      <c r="B103" s="33"/>
      <c r="C103" s="128" t="s">
        <v>143</v>
      </c>
      <c r="D103" s="128" t="s">
        <v>147</v>
      </c>
      <c r="E103" s="129" t="s">
        <v>1309</v>
      </c>
      <c r="F103" s="130" t="s">
        <v>1310</v>
      </c>
      <c r="G103" s="131" t="s">
        <v>324</v>
      </c>
      <c r="H103" s="132">
        <v>19.8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1311</v>
      </c>
    </row>
    <row r="104" spans="2:47" s="1" customFormat="1" ht="12">
      <c r="B104" s="33"/>
      <c r="D104" s="141" t="s">
        <v>154</v>
      </c>
      <c r="F104" s="142" t="s">
        <v>1312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51" s="12" customFormat="1" ht="12">
      <c r="B105" s="152"/>
      <c r="D105" s="145" t="s">
        <v>249</v>
      </c>
      <c r="E105" s="153" t="s">
        <v>1252</v>
      </c>
      <c r="F105" s="154" t="s">
        <v>1313</v>
      </c>
      <c r="H105" s="155">
        <v>19.8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84</v>
      </c>
      <c r="AY105" s="153" t="s">
        <v>144</v>
      </c>
    </row>
    <row r="106" spans="2:65" s="1" customFormat="1" ht="31.95" customHeight="1">
      <c r="B106" s="33"/>
      <c r="C106" s="128" t="s">
        <v>177</v>
      </c>
      <c r="D106" s="128" t="s">
        <v>147</v>
      </c>
      <c r="E106" s="129" t="s">
        <v>1314</v>
      </c>
      <c r="F106" s="130" t="s">
        <v>1315</v>
      </c>
      <c r="G106" s="131" t="s">
        <v>246</v>
      </c>
      <c r="H106" s="132">
        <v>759.306</v>
      </c>
      <c r="I106" s="133"/>
      <c r="J106" s="134">
        <f>ROUND(I106*H106,2)</f>
        <v>0</v>
      </c>
      <c r="K106" s="130" t="s">
        <v>151</v>
      </c>
      <c r="L106" s="33"/>
      <c r="M106" s="135" t="s">
        <v>19</v>
      </c>
      <c r="N106" s="136" t="s">
        <v>47</v>
      </c>
      <c r="P106" s="137">
        <f>O106*H106</f>
        <v>0</v>
      </c>
      <c r="Q106" s="137">
        <v>0.00201118</v>
      </c>
      <c r="R106" s="137">
        <f>Q106*H106</f>
        <v>1.52710104108</v>
      </c>
      <c r="S106" s="137">
        <v>0</v>
      </c>
      <c r="T106" s="138">
        <f>S106*H106</f>
        <v>0</v>
      </c>
      <c r="AR106" s="139" t="s">
        <v>166</v>
      </c>
      <c r="AT106" s="139" t="s">
        <v>147</v>
      </c>
      <c r="AU106" s="139" t="s">
        <v>86</v>
      </c>
      <c r="AY106" s="18" t="s">
        <v>144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84</v>
      </c>
      <c r="BK106" s="140">
        <f>ROUND(I106*H106,2)</f>
        <v>0</v>
      </c>
      <c r="BL106" s="18" t="s">
        <v>166</v>
      </c>
      <c r="BM106" s="139" t="s">
        <v>1316</v>
      </c>
    </row>
    <row r="107" spans="2:47" s="1" customFormat="1" ht="12">
      <c r="B107" s="33"/>
      <c r="D107" s="141" t="s">
        <v>154</v>
      </c>
      <c r="F107" s="142" t="s">
        <v>1317</v>
      </c>
      <c r="I107" s="143"/>
      <c r="L107" s="33"/>
      <c r="M107" s="144"/>
      <c r="T107" s="54"/>
      <c r="AT107" s="18" t="s">
        <v>154</v>
      </c>
      <c r="AU107" s="18" t="s">
        <v>86</v>
      </c>
    </row>
    <row r="108" spans="2:51" s="12" customFormat="1" ht="12">
      <c r="B108" s="152"/>
      <c r="D108" s="145" t="s">
        <v>249</v>
      </c>
      <c r="E108" s="153" t="s">
        <v>19</v>
      </c>
      <c r="F108" s="154" t="s">
        <v>1318</v>
      </c>
      <c r="H108" s="155">
        <v>437.038</v>
      </c>
      <c r="I108" s="156"/>
      <c r="L108" s="152"/>
      <c r="M108" s="157"/>
      <c r="T108" s="158"/>
      <c r="AT108" s="153" t="s">
        <v>249</v>
      </c>
      <c r="AU108" s="153" t="s">
        <v>86</v>
      </c>
      <c r="AV108" s="12" t="s">
        <v>86</v>
      </c>
      <c r="AW108" s="12" t="s">
        <v>37</v>
      </c>
      <c r="AX108" s="12" t="s">
        <v>76</v>
      </c>
      <c r="AY108" s="153" t="s">
        <v>144</v>
      </c>
    </row>
    <row r="109" spans="2:51" s="12" customFormat="1" ht="12">
      <c r="B109" s="152"/>
      <c r="D109" s="145" t="s">
        <v>249</v>
      </c>
      <c r="E109" s="153" t="s">
        <v>19</v>
      </c>
      <c r="F109" s="154" t="s">
        <v>1319</v>
      </c>
      <c r="H109" s="155">
        <v>181.98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37</v>
      </c>
      <c r="AX109" s="12" t="s">
        <v>76</v>
      </c>
      <c r="AY109" s="153" t="s">
        <v>144</v>
      </c>
    </row>
    <row r="110" spans="2:51" s="12" customFormat="1" ht="20.4">
      <c r="B110" s="152"/>
      <c r="D110" s="145" t="s">
        <v>249</v>
      </c>
      <c r="E110" s="153" t="s">
        <v>19</v>
      </c>
      <c r="F110" s="154" t="s">
        <v>1320</v>
      </c>
      <c r="H110" s="155">
        <v>100.688</v>
      </c>
      <c r="I110" s="156"/>
      <c r="L110" s="152"/>
      <c r="M110" s="157"/>
      <c r="T110" s="158"/>
      <c r="AT110" s="153" t="s">
        <v>249</v>
      </c>
      <c r="AU110" s="153" t="s">
        <v>86</v>
      </c>
      <c r="AV110" s="12" t="s">
        <v>86</v>
      </c>
      <c r="AW110" s="12" t="s">
        <v>37</v>
      </c>
      <c r="AX110" s="12" t="s">
        <v>76</v>
      </c>
      <c r="AY110" s="153" t="s">
        <v>144</v>
      </c>
    </row>
    <row r="111" spans="2:51" s="12" customFormat="1" ht="12">
      <c r="B111" s="152"/>
      <c r="D111" s="145" t="s">
        <v>249</v>
      </c>
      <c r="E111" s="153" t="s">
        <v>19</v>
      </c>
      <c r="F111" s="154" t="s">
        <v>1321</v>
      </c>
      <c r="H111" s="155">
        <v>39.6</v>
      </c>
      <c r="I111" s="156"/>
      <c r="L111" s="152"/>
      <c r="M111" s="157"/>
      <c r="T111" s="158"/>
      <c r="AT111" s="153" t="s">
        <v>249</v>
      </c>
      <c r="AU111" s="153" t="s">
        <v>86</v>
      </c>
      <c r="AV111" s="12" t="s">
        <v>86</v>
      </c>
      <c r="AW111" s="12" t="s">
        <v>37</v>
      </c>
      <c r="AX111" s="12" t="s">
        <v>76</v>
      </c>
      <c r="AY111" s="153" t="s">
        <v>144</v>
      </c>
    </row>
    <row r="112" spans="2:51" s="13" customFormat="1" ht="12">
      <c r="B112" s="159"/>
      <c r="D112" s="145" t="s">
        <v>249</v>
      </c>
      <c r="E112" s="160" t="s">
        <v>1255</v>
      </c>
      <c r="F112" s="161" t="s">
        <v>251</v>
      </c>
      <c r="H112" s="162">
        <v>759.306</v>
      </c>
      <c r="I112" s="163"/>
      <c r="L112" s="159"/>
      <c r="M112" s="164"/>
      <c r="T112" s="165"/>
      <c r="AT112" s="160" t="s">
        <v>249</v>
      </c>
      <c r="AU112" s="160" t="s">
        <v>86</v>
      </c>
      <c r="AV112" s="13" t="s">
        <v>166</v>
      </c>
      <c r="AW112" s="13" t="s">
        <v>37</v>
      </c>
      <c r="AX112" s="13" t="s">
        <v>84</v>
      </c>
      <c r="AY112" s="160" t="s">
        <v>144</v>
      </c>
    </row>
    <row r="113" spans="2:65" s="1" customFormat="1" ht="42.6" customHeight="1">
      <c r="B113" s="33"/>
      <c r="C113" s="128" t="s">
        <v>184</v>
      </c>
      <c r="D113" s="128" t="s">
        <v>147</v>
      </c>
      <c r="E113" s="129" t="s">
        <v>1322</v>
      </c>
      <c r="F113" s="130" t="s">
        <v>1323</v>
      </c>
      <c r="G113" s="131" t="s">
        <v>246</v>
      </c>
      <c r="H113" s="132">
        <v>759.306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1324</v>
      </c>
    </row>
    <row r="114" spans="2:47" s="1" customFormat="1" ht="12">
      <c r="B114" s="33"/>
      <c r="D114" s="141" t="s">
        <v>154</v>
      </c>
      <c r="F114" s="142" t="s">
        <v>1325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51" s="12" customFormat="1" ht="12">
      <c r="B115" s="152"/>
      <c r="D115" s="145" t="s">
        <v>249</v>
      </c>
      <c r="E115" s="153" t="s">
        <v>19</v>
      </c>
      <c r="F115" s="154" t="s">
        <v>1255</v>
      </c>
      <c r="H115" s="155">
        <v>759.306</v>
      </c>
      <c r="I115" s="156"/>
      <c r="L115" s="152"/>
      <c r="M115" s="157"/>
      <c r="T115" s="158"/>
      <c r="AT115" s="153" t="s">
        <v>249</v>
      </c>
      <c r="AU115" s="153" t="s">
        <v>86</v>
      </c>
      <c r="AV115" s="12" t="s">
        <v>86</v>
      </c>
      <c r="AW115" s="12" t="s">
        <v>37</v>
      </c>
      <c r="AX115" s="12" t="s">
        <v>84</v>
      </c>
      <c r="AY115" s="153" t="s">
        <v>144</v>
      </c>
    </row>
    <row r="116" spans="2:65" s="1" customFormat="1" ht="60.45" customHeight="1">
      <c r="B116" s="33"/>
      <c r="C116" s="128" t="s">
        <v>189</v>
      </c>
      <c r="D116" s="128" t="s">
        <v>147</v>
      </c>
      <c r="E116" s="129" t="s">
        <v>1326</v>
      </c>
      <c r="F116" s="130" t="s">
        <v>1327</v>
      </c>
      <c r="G116" s="131" t="s">
        <v>324</v>
      </c>
      <c r="H116" s="132">
        <v>50.4</v>
      </c>
      <c r="I116" s="133"/>
      <c r="J116" s="134">
        <f>ROUND(I116*H116,2)</f>
        <v>0</v>
      </c>
      <c r="K116" s="130" t="s">
        <v>151</v>
      </c>
      <c r="L116" s="33"/>
      <c r="M116" s="135" t="s">
        <v>19</v>
      </c>
      <c r="N116" s="136" t="s">
        <v>47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166</v>
      </c>
      <c r="AT116" s="139" t="s">
        <v>147</v>
      </c>
      <c r="AU116" s="139" t="s">
        <v>86</v>
      </c>
      <c r="AY116" s="18" t="s">
        <v>144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8" t="s">
        <v>84</v>
      </c>
      <c r="BK116" s="140">
        <f>ROUND(I116*H116,2)</f>
        <v>0</v>
      </c>
      <c r="BL116" s="18" t="s">
        <v>166</v>
      </c>
      <c r="BM116" s="139" t="s">
        <v>1328</v>
      </c>
    </row>
    <row r="117" spans="2:47" s="1" customFormat="1" ht="12">
      <c r="B117" s="33"/>
      <c r="D117" s="141" t="s">
        <v>154</v>
      </c>
      <c r="F117" s="142" t="s">
        <v>1329</v>
      </c>
      <c r="I117" s="143"/>
      <c r="L117" s="33"/>
      <c r="M117" s="144"/>
      <c r="T117" s="54"/>
      <c r="AT117" s="18" t="s">
        <v>154</v>
      </c>
      <c r="AU117" s="18" t="s">
        <v>86</v>
      </c>
    </row>
    <row r="118" spans="2:51" s="12" customFormat="1" ht="12">
      <c r="B118" s="152"/>
      <c r="D118" s="145" t="s">
        <v>249</v>
      </c>
      <c r="E118" s="153" t="s">
        <v>19</v>
      </c>
      <c r="F118" s="154" t="s">
        <v>1330</v>
      </c>
      <c r="H118" s="155">
        <v>50.4</v>
      </c>
      <c r="I118" s="156"/>
      <c r="L118" s="152"/>
      <c r="M118" s="157"/>
      <c r="T118" s="158"/>
      <c r="AT118" s="153" t="s">
        <v>249</v>
      </c>
      <c r="AU118" s="153" t="s">
        <v>86</v>
      </c>
      <c r="AV118" s="12" t="s">
        <v>86</v>
      </c>
      <c r="AW118" s="12" t="s">
        <v>37</v>
      </c>
      <c r="AX118" s="12" t="s">
        <v>84</v>
      </c>
      <c r="AY118" s="153" t="s">
        <v>144</v>
      </c>
    </row>
    <row r="119" spans="2:65" s="1" customFormat="1" ht="60.45" customHeight="1">
      <c r="B119" s="33"/>
      <c r="C119" s="128" t="s">
        <v>195</v>
      </c>
      <c r="D119" s="128" t="s">
        <v>147</v>
      </c>
      <c r="E119" s="129" t="s">
        <v>361</v>
      </c>
      <c r="F119" s="130" t="s">
        <v>362</v>
      </c>
      <c r="G119" s="131" t="s">
        <v>324</v>
      </c>
      <c r="H119" s="132">
        <v>664.631</v>
      </c>
      <c r="I119" s="133"/>
      <c r="J119" s="134">
        <f>ROUND(I119*H119,2)</f>
        <v>0</v>
      </c>
      <c r="K119" s="130" t="s">
        <v>151</v>
      </c>
      <c r="L119" s="33"/>
      <c r="M119" s="135" t="s">
        <v>19</v>
      </c>
      <c r="N119" s="136" t="s">
        <v>47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166</v>
      </c>
      <c r="AT119" s="139" t="s">
        <v>147</v>
      </c>
      <c r="AU119" s="139" t="s">
        <v>86</v>
      </c>
      <c r="AY119" s="18" t="s">
        <v>144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84</v>
      </c>
      <c r="BK119" s="140">
        <f>ROUND(I119*H119,2)</f>
        <v>0</v>
      </c>
      <c r="BL119" s="18" t="s">
        <v>166</v>
      </c>
      <c r="BM119" s="139" t="s">
        <v>1331</v>
      </c>
    </row>
    <row r="120" spans="2:47" s="1" customFormat="1" ht="12">
      <c r="B120" s="33"/>
      <c r="D120" s="141" t="s">
        <v>154</v>
      </c>
      <c r="F120" s="142" t="s">
        <v>364</v>
      </c>
      <c r="I120" s="143"/>
      <c r="L120" s="33"/>
      <c r="M120" s="144"/>
      <c r="T120" s="54"/>
      <c r="AT120" s="18" t="s">
        <v>154</v>
      </c>
      <c r="AU120" s="18" t="s">
        <v>86</v>
      </c>
    </row>
    <row r="121" spans="2:51" s="12" customFormat="1" ht="12">
      <c r="B121" s="152"/>
      <c r="D121" s="145" t="s">
        <v>249</v>
      </c>
      <c r="E121" s="153" t="s">
        <v>19</v>
      </c>
      <c r="F121" s="154" t="s">
        <v>1249</v>
      </c>
      <c r="H121" s="155">
        <v>371.411</v>
      </c>
      <c r="I121" s="156"/>
      <c r="L121" s="152"/>
      <c r="M121" s="157"/>
      <c r="T121" s="158"/>
      <c r="AT121" s="153" t="s">
        <v>249</v>
      </c>
      <c r="AU121" s="153" t="s">
        <v>86</v>
      </c>
      <c r="AV121" s="12" t="s">
        <v>86</v>
      </c>
      <c r="AW121" s="12" t="s">
        <v>37</v>
      </c>
      <c r="AX121" s="12" t="s">
        <v>76</v>
      </c>
      <c r="AY121" s="153" t="s">
        <v>144</v>
      </c>
    </row>
    <row r="122" spans="2:51" s="12" customFormat="1" ht="12">
      <c r="B122" s="152"/>
      <c r="D122" s="145" t="s">
        <v>249</v>
      </c>
      <c r="E122" s="153" t="s">
        <v>19</v>
      </c>
      <c r="F122" s="154" t="s">
        <v>1246</v>
      </c>
      <c r="H122" s="155">
        <v>273.42</v>
      </c>
      <c r="I122" s="156"/>
      <c r="L122" s="152"/>
      <c r="M122" s="157"/>
      <c r="T122" s="158"/>
      <c r="AT122" s="153" t="s">
        <v>249</v>
      </c>
      <c r="AU122" s="153" t="s">
        <v>86</v>
      </c>
      <c r="AV122" s="12" t="s">
        <v>86</v>
      </c>
      <c r="AW122" s="12" t="s">
        <v>37</v>
      </c>
      <c r="AX122" s="12" t="s">
        <v>76</v>
      </c>
      <c r="AY122" s="153" t="s">
        <v>144</v>
      </c>
    </row>
    <row r="123" spans="2:51" s="12" customFormat="1" ht="12">
      <c r="B123" s="152"/>
      <c r="D123" s="145" t="s">
        <v>249</v>
      </c>
      <c r="E123" s="153" t="s">
        <v>19</v>
      </c>
      <c r="F123" s="154" t="s">
        <v>1252</v>
      </c>
      <c r="H123" s="155">
        <v>19.8</v>
      </c>
      <c r="I123" s="156"/>
      <c r="L123" s="152"/>
      <c r="M123" s="157"/>
      <c r="T123" s="158"/>
      <c r="AT123" s="153" t="s">
        <v>249</v>
      </c>
      <c r="AU123" s="153" t="s">
        <v>86</v>
      </c>
      <c r="AV123" s="12" t="s">
        <v>86</v>
      </c>
      <c r="AW123" s="12" t="s">
        <v>37</v>
      </c>
      <c r="AX123" s="12" t="s">
        <v>76</v>
      </c>
      <c r="AY123" s="153" t="s">
        <v>144</v>
      </c>
    </row>
    <row r="124" spans="2:51" s="13" customFormat="1" ht="12">
      <c r="B124" s="159"/>
      <c r="D124" s="145" t="s">
        <v>249</v>
      </c>
      <c r="E124" s="160" t="s">
        <v>1258</v>
      </c>
      <c r="F124" s="161" t="s">
        <v>251</v>
      </c>
      <c r="H124" s="162">
        <v>664.631</v>
      </c>
      <c r="I124" s="163"/>
      <c r="L124" s="159"/>
      <c r="M124" s="164"/>
      <c r="T124" s="165"/>
      <c r="AT124" s="160" t="s">
        <v>249</v>
      </c>
      <c r="AU124" s="160" t="s">
        <v>86</v>
      </c>
      <c r="AV124" s="13" t="s">
        <v>166</v>
      </c>
      <c r="AW124" s="13" t="s">
        <v>37</v>
      </c>
      <c r="AX124" s="13" t="s">
        <v>84</v>
      </c>
      <c r="AY124" s="160" t="s">
        <v>144</v>
      </c>
    </row>
    <row r="125" spans="2:65" s="1" customFormat="1" ht="63.9" customHeight="1">
      <c r="B125" s="33"/>
      <c r="C125" s="128" t="s">
        <v>201</v>
      </c>
      <c r="D125" s="128" t="s">
        <v>147</v>
      </c>
      <c r="E125" s="129" t="s">
        <v>369</v>
      </c>
      <c r="F125" s="130" t="s">
        <v>370</v>
      </c>
      <c r="G125" s="131" t="s">
        <v>324</v>
      </c>
      <c r="H125" s="132">
        <v>6646.31</v>
      </c>
      <c r="I125" s="133"/>
      <c r="J125" s="134">
        <f>ROUND(I125*H125,2)</f>
        <v>0</v>
      </c>
      <c r="K125" s="130" t="s">
        <v>151</v>
      </c>
      <c r="L125" s="33"/>
      <c r="M125" s="135" t="s">
        <v>19</v>
      </c>
      <c r="N125" s="136" t="s">
        <v>47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166</v>
      </c>
      <c r="AT125" s="139" t="s">
        <v>147</v>
      </c>
      <c r="AU125" s="139" t="s">
        <v>86</v>
      </c>
      <c r="AY125" s="18" t="s">
        <v>144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84</v>
      </c>
      <c r="BK125" s="140">
        <f>ROUND(I125*H125,2)</f>
        <v>0</v>
      </c>
      <c r="BL125" s="18" t="s">
        <v>166</v>
      </c>
      <c r="BM125" s="139" t="s">
        <v>1332</v>
      </c>
    </row>
    <row r="126" spans="2:47" s="1" customFormat="1" ht="12">
      <c r="B126" s="33"/>
      <c r="D126" s="141" t="s">
        <v>154</v>
      </c>
      <c r="F126" s="142" t="s">
        <v>372</v>
      </c>
      <c r="I126" s="143"/>
      <c r="L126" s="33"/>
      <c r="M126" s="144"/>
      <c r="T126" s="54"/>
      <c r="AT126" s="18" t="s">
        <v>154</v>
      </c>
      <c r="AU126" s="18" t="s">
        <v>86</v>
      </c>
    </row>
    <row r="127" spans="2:51" s="12" customFormat="1" ht="12">
      <c r="B127" s="152"/>
      <c r="D127" s="145" t="s">
        <v>249</v>
      </c>
      <c r="E127" s="153" t="s">
        <v>19</v>
      </c>
      <c r="F127" s="154" t="s">
        <v>1333</v>
      </c>
      <c r="H127" s="155">
        <v>6646.31</v>
      </c>
      <c r="I127" s="156"/>
      <c r="L127" s="152"/>
      <c r="M127" s="157"/>
      <c r="T127" s="158"/>
      <c r="AT127" s="153" t="s">
        <v>249</v>
      </c>
      <c r="AU127" s="153" t="s">
        <v>86</v>
      </c>
      <c r="AV127" s="12" t="s">
        <v>86</v>
      </c>
      <c r="AW127" s="12" t="s">
        <v>37</v>
      </c>
      <c r="AX127" s="12" t="s">
        <v>84</v>
      </c>
      <c r="AY127" s="153" t="s">
        <v>144</v>
      </c>
    </row>
    <row r="128" spans="2:65" s="1" customFormat="1" ht="42.6" customHeight="1">
      <c r="B128" s="33"/>
      <c r="C128" s="128" t="s">
        <v>208</v>
      </c>
      <c r="D128" s="128" t="s">
        <v>147</v>
      </c>
      <c r="E128" s="129" t="s">
        <v>1334</v>
      </c>
      <c r="F128" s="130" t="s">
        <v>1335</v>
      </c>
      <c r="G128" s="131" t="s">
        <v>324</v>
      </c>
      <c r="H128" s="132">
        <v>25.2</v>
      </c>
      <c r="I128" s="133"/>
      <c r="J128" s="134">
        <f>ROUND(I128*H128,2)</f>
        <v>0</v>
      </c>
      <c r="K128" s="130" t="s">
        <v>151</v>
      </c>
      <c r="L128" s="33"/>
      <c r="M128" s="135" t="s">
        <v>19</v>
      </c>
      <c r="N128" s="136" t="s">
        <v>47</v>
      </c>
      <c r="P128" s="137">
        <f>O128*H128</f>
        <v>0</v>
      </c>
      <c r="Q128" s="137">
        <v>0</v>
      </c>
      <c r="R128" s="137">
        <f>Q128*H128</f>
        <v>0</v>
      </c>
      <c r="S128" s="137">
        <v>0</v>
      </c>
      <c r="T128" s="138">
        <f>S128*H128</f>
        <v>0</v>
      </c>
      <c r="AR128" s="139" t="s">
        <v>166</v>
      </c>
      <c r="AT128" s="139" t="s">
        <v>147</v>
      </c>
      <c r="AU128" s="139" t="s">
        <v>86</v>
      </c>
      <c r="AY128" s="18" t="s">
        <v>144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84</v>
      </c>
      <c r="BK128" s="140">
        <f>ROUND(I128*H128,2)</f>
        <v>0</v>
      </c>
      <c r="BL128" s="18" t="s">
        <v>166</v>
      </c>
      <c r="BM128" s="139" t="s">
        <v>1336</v>
      </c>
    </row>
    <row r="129" spans="2:47" s="1" customFormat="1" ht="12">
      <c r="B129" s="33"/>
      <c r="D129" s="141" t="s">
        <v>154</v>
      </c>
      <c r="F129" s="142" t="s">
        <v>1337</v>
      </c>
      <c r="I129" s="143"/>
      <c r="L129" s="33"/>
      <c r="M129" s="144"/>
      <c r="T129" s="54"/>
      <c r="AT129" s="18" t="s">
        <v>154</v>
      </c>
      <c r="AU129" s="18" t="s">
        <v>86</v>
      </c>
    </row>
    <row r="130" spans="2:51" s="12" customFormat="1" ht="12">
      <c r="B130" s="152"/>
      <c r="D130" s="145" t="s">
        <v>249</v>
      </c>
      <c r="E130" s="153" t="s">
        <v>19</v>
      </c>
      <c r="F130" s="154" t="s">
        <v>1338</v>
      </c>
      <c r="H130" s="155">
        <v>25.2</v>
      </c>
      <c r="I130" s="156"/>
      <c r="L130" s="152"/>
      <c r="M130" s="157"/>
      <c r="T130" s="158"/>
      <c r="AT130" s="153" t="s">
        <v>249</v>
      </c>
      <c r="AU130" s="153" t="s">
        <v>86</v>
      </c>
      <c r="AV130" s="12" t="s">
        <v>86</v>
      </c>
      <c r="AW130" s="12" t="s">
        <v>37</v>
      </c>
      <c r="AX130" s="12" t="s">
        <v>84</v>
      </c>
      <c r="AY130" s="153" t="s">
        <v>144</v>
      </c>
    </row>
    <row r="131" spans="2:65" s="1" customFormat="1" ht="15" customHeight="1">
      <c r="B131" s="33"/>
      <c r="C131" s="128" t="s">
        <v>214</v>
      </c>
      <c r="D131" s="128" t="s">
        <v>147</v>
      </c>
      <c r="E131" s="129" t="s">
        <v>1339</v>
      </c>
      <c r="F131" s="130" t="s">
        <v>1340</v>
      </c>
      <c r="G131" s="131" t="s">
        <v>324</v>
      </c>
      <c r="H131" s="132">
        <v>664.631</v>
      </c>
      <c r="I131" s="133"/>
      <c r="J131" s="134">
        <f>ROUND(I131*H131,2)</f>
        <v>0</v>
      </c>
      <c r="K131" s="130" t="s">
        <v>19</v>
      </c>
      <c r="L131" s="33"/>
      <c r="M131" s="135" t="s">
        <v>19</v>
      </c>
      <c r="N131" s="136" t="s">
        <v>47</v>
      </c>
      <c r="P131" s="137">
        <f>O131*H131</f>
        <v>0</v>
      </c>
      <c r="Q131" s="137">
        <v>0</v>
      </c>
      <c r="R131" s="137">
        <f>Q131*H131</f>
        <v>0</v>
      </c>
      <c r="S131" s="137">
        <v>0</v>
      </c>
      <c r="T131" s="138">
        <f>S131*H131</f>
        <v>0</v>
      </c>
      <c r="AR131" s="139" t="s">
        <v>166</v>
      </c>
      <c r="AT131" s="139" t="s">
        <v>147</v>
      </c>
      <c r="AU131" s="139" t="s">
        <v>86</v>
      </c>
      <c r="AY131" s="18" t="s">
        <v>144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84</v>
      </c>
      <c r="BK131" s="140">
        <f>ROUND(I131*H131,2)</f>
        <v>0</v>
      </c>
      <c r="BL131" s="18" t="s">
        <v>166</v>
      </c>
      <c r="BM131" s="139" t="s">
        <v>1341</v>
      </c>
    </row>
    <row r="132" spans="2:51" s="12" customFormat="1" ht="12">
      <c r="B132" s="152"/>
      <c r="D132" s="145" t="s">
        <v>249</v>
      </c>
      <c r="E132" s="153" t="s">
        <v>19</v>
      </c>
      <c r="F132" s="154" t="s">
        <v>1258</v>
      </c>
      <c r="H132" s="155">
        <v>664.631</v>
      </c>
      <c r="I132" s="156"/>
      <c r="L132" s="152"/>
      <c r="M132" s="157"/>
      <c r="T132" s="158"/>
      <c r="AT132" s="153" t="s">
        <v>249</v>
      </c>
      <c r="AU132" s="153" t="s">
        <v>86</v>
      </c>
      <c r="AV132" s="12" t="s">
        <v>86</v>
      </c>
      <c r="AW132" s="12" t="s">
        <v>37</v>
      </c>
      <c r="AX132" s="12" t="s">
        <v>84</v>
      </c>
      <c r="AY132" s="153" t="s">
        <v>144</v>
      </c>
    </row>
    <row r="133" spans="2:65" s="1" customFormat="1" ht="42.6" customHeight="1">
      <c r="B133" s="33"/>
      <c r="C133" s="128" t="s">
        <v>221</v>
      </c>
      <c r="D133" s="128" t="s">
        <v>147</v>
      </c>
      <c r="E133" s="129" t="s">
        <v>1342</v>
      </c>
      <c r="F133" s="130" t="s">
        <v>921</v>
      </c>
      <c r="G133" s="131" t="s">
        <v>413</v>
      </c>
      <c r="H133" s="132">
        <v>1063.41</v>
      </c>
      <c r="I133" s="133"/>
      <c r="J133" s="134">
        <f>ROUND(I133*H133,2)</f>
        <v>0</v>
      </c>
      <c r="K133" s="130" t="s">
        <v>151</v>
      </c>
      <c r="L133" s="33"/>
      <c r="M133" s="135" t="s">
        <v>19</v>
      </c>
      <c r="N133" s="136" t="s">
        <v>47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166</v>
      </c>
      <c r="AT133" s="139" t="s">
        <v>147</v>
      </c>
      <c r="AU133" s="139" t="s">
        <v>86</v>
      </c>
      <c r="AY133" s="18" t="s">
        <v>144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8" t="s">
        <v>84</v>
      </c>
      <c r="BK133" s="140">
        <f>ROUND(I133*H133,2)</f>
        <v>0</v>
      </c>
      <c r="BL133" s="18" t="s">
        <v>166</v>
      </c>
      <c r="BM133" s="139" t="s">
        <v>1343</v>
      </c>
    </row>
    <row r="134" spans="2:47" s="1" customFormat="1" ht="12">
      <c r="B134" s="33"/>
      <c r="D134" s="141" t="s">
        <v>154</v>
      </c>
      <c r="F134" s="142" t="s">
        <v>1344</v>
      </c>
      <c r="I134" s="143"/>
      <c r="L134" s="33"/>
      <c r="M134" s="144"/>
      <c r="T134" s="54"/>
      <c r="AT134" s="18" t="s">
        <v>154</v>
      </c>
      <c r="AU134" s="18" t="s">
        <v>86</v>
      </c>
    </row>
    <row r="135" spans="2:51" s="12" customFormat="1" ht="12">
      <c r="B135" s="152"/>
      <c r="D135" s="145" t="s">
        <v>249</v>
      </c>
      <c r="E135" s="153" t="s">
        <v>19</v>
      </c>
      <c r="F135" s="154" t="s">
        <v>1345</v>
      </c>
      <c r="H135" s="155">
        <v>1063.41</v>
      </c>
      <c r="I135" s="156"/>
      <c r="L135" s="152"/>
      <c r="M135" s="157"/>
      <c r="T135" s="158"/>
      <c r="AT135" s="153" t="s">
        <v>249</v>
      </c>
      <c r="AU135" s="153" t="s">
        <v>86</v>
      </c>
      <c r="AV135" s="12" t="s">
        <v>86</v>
      </c>
      <c r="AW135" s="12" t="s">
        <v>37</v>
      </c>
      <c r="AX135" s="12" t="s">
        <v>84</v>
      </c>
      <c r="AY135" s="153" t="s">
        <v>144</v>
      </c>
    </row>
    <row r="136" spans="2:65" s="1" customFormat="1" ht="42.6" customHeight="1">
      <c r="B136" s="33"/>
      <c r="C136" s="128" t="s">
        <v>225</v>
      </c>
      <c r="D136" s="128" t="s">
        <v>147</v>
      </c>
      <c r="E136" s="129" t="s">
        <v>398</v>
      </c>
      <c r="F136" s="130" t="s">
        <v>1346</v>
      </c>
      <c r="G136" s="131" t="s">
        <v>324</v>
      </c>
      <c r="H136" s="132">
        <v>460.459</v>
      </c>
      <c r="I136" s="133"/>
      <c r="J136" s="134">
        <f>ROUND(I136*H136,2)</f>
        <v>0</v>
      </c>
      <c r="K136" s="130" t="s">
        <v>151</v>
      </c>
      <c r="L136" s="33"/>
      <c r="M136" s="135" t="s">
        <v>19</v>
      </c>
      <c r="N136" s="136" t="s">
        <v>47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166</v>
      </c>
      <c r="AT136" s="139" t="s">
        <v>147</v>
      </c>
      <c r="AU136" s="139" t="s">
        <v>86</v>
      </c>
      <c r="AY136" s="18" t="s">
        <v>144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84</v>
      </c>
      <c r="BK136" s="140">
        <f>ROUND(I136*H136,2)</f>
        <v>0</v>
      </c>
      <c r="BL136" s="18" t="s">
        <v>166</v>
      </c>
      <c r="BM136" s="139" t="s">
        <v>1347</v>
      </c>
    </row>
    <row r="137" spans="2:47" s="1" customFormat="1" ht="12">
      <c r="B137" s="33"/>
      <c r="D137" s="141" t="s">
        <v>154</v>
      </c>
      <c r="F137" s="142" t="s">
        <v>1348</v>
      </c>
      <c r="I137" s="143"/>
      <c r="L137" s="33"/>
      <c r="M137" s="144"/>
      <c r="T137" s="54"/>
      <c r="AT137" s="18" t="s">
        <v>154</v>
      </c>
      <c r="AU137" s="18" t="s">
        <v>86</v>
      </c>
    </row>
    <row r="138" spans="2:51" s="12" customFormat="1" ht="12">
      <c r="B138" s="152"/>
      <c r="D138" s="145" t="s">
        <v>249</v>
      </c>
      <c r="E138" s="153" t="s">
        <v>19</v>
      </c>
      <c r="F138" s="154" t="s">
        <v>1349</v>
      </c>
      <c r="H138" s="155">
        <v>371.411</v>
      </c>
      <c r="I138" s="156"/>
      <c r="L138" s="152"/>
      <c r="M138" s="157"/>
      <c r="T138" s="158"/>
      <c r="AT138" s="153" t="s">
        <v>249</v>
      </c>
      <c r="AU138" s="153" t="s">
        <v>86</v>
      </c>
      <c r="AV138" s="12" t="s">
        <v>86</v>
      </c>
      <c r="AW138" s="12" t="s">
        <v>37</v>
      </c>
      <c r="AX138" s="12" t="s">
        <v>76</v>
      </c>
      <c r="AY138" s="153" t="s">
        <v>144</v>
      </c>
    </row>
    <row r="139" spans="2:51" s="12" customFormat="1" ht="12">
      <c r="B139" s="152"/>
      <c r="D139" s="145" t="s">
        <v>249</v>
      </c>
      <c r="E139" s="153" t="s">
        <v>19</v>
      </c>
      <c r="F139" s="154" t="s">
        <v>1350</v>
      </c>
      <c r="H139" s="155">
        <v>273.42</v>
      </c>
      <c r="I139" s="156"/>
      <c r="L139" s="152"/>
      <c r="M139" s="157"/>
      <c r="T139" s="158"/>
      <c r="AT139" s="153" t="s">
        <v>249</v>
      </c>
      <c r="AU139" s="153" t="s">
        <v>86</v>
      </c>
      <c r="AV139" s="12" t="s">
        <v>86</v>
      </c>
      <c r="AW139" s="12" t="s">
        <v>37</v>
      </c>
      <c r="AX139" s="12" t="s">
        <v>76</v>
      </c>
      <c r="AY139" s="153" t="s">
        <v>144</v>
      </c>
    </row>
    <row r="140" spans="2:51" s="12" customFormat="1" ht="12">
      <c r="B140" s="152"/>
      <c r="D140" s="145" t="s">
        <v>249</v>
      </c>
      <c r="E140" s="153" t="s">
        <v>19</v>
      </c>
      <c r="F140" s="154" t="s">
        <v>1351</v>
      </c>
      <c r="H140" s="155">
        <v>19.8</v>
      </c>
      <c r="I140" s="156"/>
      <c r="L140" s="152"/>
      <c r="M140" s="157"/>
      <c r="T140" s="158"/>
      <c r="AT140" s="153" t="s">
        <v>249</v>
      </c>
      <c r="AU140" s="153" t="s">
        <v>86</v>
      </c>
      <c r="AV140" s="12" t="s">
        <v>86</v>
      </c>
      <c r="AW140" s="12" t="s">
        <v>37</v>
      </c>
      <c r="AX140" s="12" t="s">
        <v>76</v>
      </c>
      <c r="AY140" s="153" t="s">
        <v>144</v>
      </c>
    </row>
    <row r="141" spans="2:51" s="12" customFormat="1" ht="12">
      <c r="B141" s="152"/>
      <c r="D141" s="145" t="s">
        <v>249</v>
      </c>
      <c r="E141" s="153" t="s">
        <v>19</v>
      </c>
      <c r="F141" s="154" t="s">
        <v>1352</v>
      </c>
      <c r="H141" s="155">
        <v>-22.455</v>
      </c>
      <c r="I141" s="156"/>
      <c r="L141" s="152"/>
      <c r="M141" s="157"/>
      <c r="T141" s="158"/>
      <c r="AT141" s="153" t="s">
        <v>249</v>
      </c>
      <c r="AU141" s="153" t="s">
        <v>86</v>
      </c>
      <c r="AV141" s="12" t="s">
        <v>86</v>
      </c>
      <c r="AW141" s="12" t="s">
        <v>37</v>
      </c>
      <c r="AX141" s="12" t="s">
        <v>76</v>
      </c>
      <c r="AY141" s="153" t="s">
        <v>144</v>
      </c>
    </row>
    <row r="142" spans="2:51" s="12" customFormat="1" ht="12">
      <c r="B142" s="152"/>
      <c r="D142" s="145" t="s">
        <v>249</v>
      </c>
      <c r="E142" s="153" t="s">
        <v>19</v>
      </c>
      <c r="F142" s="154" t="s">
        <v>1353</v>
      </c>
      <c r="H142" s="155">
        <v>-10.557</v>
      </c>
      <c r="I142" s="156"/>
      <c r="L142" s="152"/>
      <c r="M142" s="157"/>
      <c r="T142" s="158"/>
      <c r="AT142" s="153" t="s">
        <v>249</v>
      </c>
      <c r="AU142" s="153" t="s">
        <v>86</v>
      </c>
      <c r="AV142" s="12" t="s">
        <v>86</v>
      </c>
      <c r="AW142" s="12" t="s">
        <v>37</v>
      </c>
      <c r="AX142" s="12" t="s">
        <v>76</v>
      </c>
      <c r="AY142" s="153" t="s">
        <v>144</v>
      </c>
    </row>
    <row r="143" spans="2:51" s="12" customFormat="1" ht="12">
      <c r="B143" s="152"/>
      <c r="D143" s="145" t="s">
        <v>249</v>
      </c>
      <c r="E143" s="153" t="s">
        <v>19</v>
      </c>
      <c r="F143" s="154" t="s">
        <v>1354</v>
      </c>
      <c r="H143" s="155">
        <v>-107.8</v>
      </c>
      <c r="I143" s="156"/>
      <c r="L143" s="152"/>
      <c r="M143" s="157"/>
      <c r="T143" s="158"/>
      <c r="AT143" s="153" t="s">
        <v>249</v>
      </c>
      <c r="AU143" s="153" t="s">
        <v>86</v>
      </c>
      <c r="AV143" s="12" t="s">
        <v>86</v>
      </c>
      <c r="AW143" s="12" t="s">
        <v>37</v>
      </c>
      <c r="AX143" s="12" t="s">
        <v>76</v>
      </c>
      <c r="AY143" s="153" t="s">
        <v>144</v>
      </c>
    </row>
    <row r="144" spans="2:51" s="12" customFormat="1" ht="12">
      <c r="B144" s="152"/>
      <c r="D144" s="145" t="s">
        <v>249</v>
      </c>
      <c r="E144" s="153" t="s">
        <v>19</v>
      </c>
      <c r="F144" s="154" t="s">
        <v>1355</v>
      </c>
      <c r="H144" s="155">
        <v>-63.36</v>
      </c>
      <c r="I144" s="156"/>
      <c r="L144" s="152"/>
      <c r="M144" s="157"/>
      <c r="T144" s="158"/>
      <c r="AT144" s="153" t="s">
        <v>249</v>
      </c>
      <c r="AU144" s="153" t="s">
        <v>86</v>
      </c>
      <c r="AV144" s="12" t="s">
        <v>86</v>
      </c>
      <c r="AW144" s="12" t="s">
        <v>37</v>
      </c>
      <c r="AX144" s="12" t="s">
        <v>76</v>
      </c>
      <c r="AY144" s="153" t="s">
        <v>144</v>
      </c>
    </row>
    <row r="145" spans="2:51" s="13" customFormat="1" ht="12">
      <c r="B145" s="159"/>
      <c r="D145" s="145" t="s">
        <v>249</v>
      </c>
      <c r="E145" s="160" t="s">
        <v>1356</v>
      </c>
      <c r="F145" s="161" t="s">
        <v>251</v>
      </c>
      <c r="H145" s="162">
        <v>460.459</v>
      </c>
      <c r="I145" s="163"/>
      <c r="L145" s="159"/>
      <c r="M145" s="164"/>
      <c r="T145" s="165"/>
      <c r="AT145" s="160" t="s">
        <v>249</v>
      </c>
      <c r="AU145" s="160" t="s">
        <v>86</v>
      </c>
      <c r="AV145" s="13" t="s">
        <v>166</v>
      </c>
      <c r="AW145" s="13" t="s">
        <v>37</v>
      </c>
      <c r="AX145" s="13" t="s">
        <v>84</v>
      </c>
      <c r="AY145" s="160" t="s">
        <v>144</v>
      </c>
    </row>
    <row r="146" spans="2:65" s="1" customFormat="1" ht="15" customHeight="1">
      <c r="B146" s="33"/>
      <c r="C146" s="172" t="s">
        <v>8</v>
      </c>
      <c r="D146" s="172" t="s">
        <v>410</v>
      </c>
      <c r="E146" s="173" t="s">
        <v>1357</v>
      </c>
      <c r="F146" s="174" t="s">
        <v>1358</v>
      </c>
      <c r="G146" s="175" t="s">
        <v>413</v>
      </c>
      <c r="H146" s="176">
        <v>942.874</v>
      </c>
      <c r="I146" s="177"/>
      <c r="J146" s="178">
        <f>ROUND(I146*H146,2)</f>
        <v>0</v>
      </c>
      <c r="K146" s="174" t="s">
        <v>151</v>
      </c>
      <c r="L146" s="179"/>
      <c r="M146" s="180" t="s">
        <v>19</v>
      </c>
      <c r="N146" s="181" t="s">
        <v>47</v>
      </c>
      <c r="P146" s="137">
        <f>O146*H146</f>
        <v>0</v>
      </c>
      <c r="Q146" s="137">
        <v>1</v>
      </c>
      <c r="R146" s="137">
        <f>Q146*H146</f>
        <v>942.874</v>
      </c>
      <c r="S146" s="137">
        <v>0</v>
      </c>
      <c r="T146" s="138">
        <f>S146*H146</f>
        <v>0</v>
      </c>
      <c r="AR146" s="139" t="s">
        <v>189</v>
      </c>
      <c r="AT146" s="139" t="s">
        <v>410</v>
      </c>
      <c r="AU146" s="139" t="s">
        <v>86</v>
      </c>
      <c r="AY146" s="18" t="s">
        <v>144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84</v>
      </c>
      <c r="BK146" s="140">
        <f>ROUND(I146*H146,2)</f>
        <v>0</v>
      </c>
      <c r="BL146" s="18" t="s">
        <v>166</v>
      </c>
      <c r="BM146" s="139" t="s">
        <v>1359</v>
      </c>
    </row>
    <row r="147" spans="2:51" s="12" customFormat="1" ht="12">
      <c r="B147" s="152"/>
      <c r="D147" s="145" t="s">
        <v>249</v>
      </c>
      <c r="E147" s="153" t="s">
        <v>19</v>
      </c>
      <c r="F147" s="154" t="s">
        <v>1360</v>
      </c>
      <c r="H147" s="155">
        <v>942.874</v>
      </c>
      <c r="I147" s="156"/>
      <c r="L147" s="152"/>
      <c r="M147" s="157"/>
      <c r="T147" s="158"/>
      <c r="AT147" s="153" t="s">
        <v>249</v>
      </c>
      <c r="AU147" s="153" t="s">
        <v>86</v>
      </c>
      <c r="AV147" s="12" t="s">
        <v>86</v>
      </c>
      <c r="AW147" s="12" t="s">
        <v>37</v>
      </c>
      <c r="AX147" s="12" t="s">
        <v>84</v>
      </c>
      <c r="AY147" s="153" t="s">
        <v>144</v>
      </c>
    </row>
    <row r="148" spans="2:65" s="1" customFormat="1" ht="63.9" customHeight="1">
      <c r="B148" s="33"/>
      <c r="C148" s="128" t="s">
        <v>330</v>
      </c>
      <c r="D148" s="128" t="s">
        <v>147</v>
      </c>
      <c r="E148" s="129" t="s">
        <v>404</v>
      </c>
      <c r="F148" s="130" t="s">
        <v>405</v>
      </c>
      <c r="G148" s="131" t="s">
        <v>324</v>
      </c>
      <c r="H148" s="132">
        <v>107.8</v>
      </c>
      <c r="I148" s="133"/>
      <c r="J148" s="134">
        <f>ROUND(I148*H148,2)</f>
        <v>0</v>
      </c>
      <c r="K148" s="130" t="s">
        <v>151</v>
      </c>
      <c r="L148" s="33"/>
      <c r="M148" s="135" t="s">
        <v>19</v>
      </c>
      <c r="N148" s="136" t="s">
        <v>47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166</v>
      </c>
      <c r="AT148" s="139" t="s">
        <v>147</v>
      </c>
      <c r="AU148" s="139" t="s">
        <v>86</v>
      </c>
      <c r="AY148" s="18" t="s">
        <v>144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8" t="s">
        <v>84</v>
      </c>
      <c r="BK148" s="140">
        <f>ROUND(I148*H148,2)</f>
        <v>0</v>
      </c>
      <c r="BL148" s="18" t="s">
        <v>166</v>
      </c>
      <c r="BM148" s="139" t="s">
        <v>1361</v>
      </c>
    </row>
    <row r="149" spans="2:47" s="1" customFormat="1" ht="12">
      <c r="B149" s="33"/>
      <c r="D149" s="141" t="s">
        <v>154</v>
      </c>
      <c r="F149" s="142" t="s">
        <v>407</v>
      </c>
      <c r="I149" s="143"/>
      <c r="L149" s="33"/>
      <c r="M149" s="144"/>
      <c r="T149" s="54"/>
      <c r="AT149" s="18" t="s">
        <v>154</v>
      </c>
      <c r="AU149" s="18" t="s">
        <v>86</v>
      </c>
    </row>
    <row r="150" spans="2:51" s="12" customFormat="1" ht="12">
      <c r="B150" s="152"/>
      <c r="D150" s="145" t="s">
        <v>249</v>
      </c>
      <c r="E150" s="153" t="s">
        <v>19</v>
      </c>
      <c r="F150" s="154" t="s">
        <v>1362</v>
      </c>
      <c r="H150" s="155">
        <v>79.754</v>
      </c>
      <c r="I150" s="156"/>
      <c r="L150" s="152"/>
      <c r="M150" s="157"/>
      <c r="T150" s="158"/>
      <c r="AT150" s="153" t="s">
        <v>249</v>
      </c>
      <c r="AU150" s="153" t="s">
        <v>86</v>
      </c>
      <c r="AV150" s="12" t="s">
        <v>86</v>
      </c>
      <c r="AW150" s="12" t="s">
        <v>37</v>
      </c>
      <c r="AX150" s="12" t="s">
        <v>76</v>
      </c>
      <c r="AY150" s="153" t="s">
        <v>144</v>
      </c>
    </row>
    <row r="151" spans="2:51" s="12" customFormat="1" ht="12">
      <c r="B151" s="152"/>
      <c r="D151" s="145" t="s">
        <v>249</v>
      </c>
      <c r="E151" s="153" t="s">
        <v>19</v>
      </c>
      <c r="F151" s="154" t="s">
        <v>1363</v>
      </c>
      <c r="H151" s="155">
        <v>40.44</v>
      </c>
      <c r="I151" s="156"/>
      <c r="L151" s="152"/>
      <c r="M151" s="157"/>
      <c r="T151" s="158"/>
      <c r="AT151" s="153" t="s">
        <v>249</v>
      </c>
      <c r="AU151" s="153" t="s">
        <v>86</v>
      </c>
      <c r="AV151" s="12" t="s">
        <v>86</v>
      </c>
      <c r="AW151" s="12" t="s">
        <v>37</v>
      </c>
      <c r="AX151" s="12" t="s">
        <v>76</v>
      </c>
      <c r="AY151" s="153" t="s">
        <v>144</v>
      </c>
    </row>
    <row r="152" spans="2:51" s="12" customFormat="1" ht="12">
      <c r="B152" s="152"/>
      <c r="D152" s="145" t="s">
        <v>249</v>
      </c>
      <c r="E152" s="153" t="s">
        <v>19</v>
      </c>
      <c r="F152" s="154" t="s">
        <v>1364</v>
      </c>
      <c r="H152" s="155">
        <v>-9.885</v>
      </c>
      <c r="I152" s="156"/>
      <c r="L152" s="152"/>
      <c r="M152" s="157"/>
      <c r="T152" s="158"/>
      <c r="AT152" s="153" t="s">
        <v>249</v>
      </c>
      <c r="AU152" s="153" t="s">
        <v>86</v>
      </c>
      <c r="AV152" s="12" t="s">
        <v>86</v>
      </c>
      <c r="AW152" s="12" t="s">
        <v>37</v>
      </c>
      <c r="AX152" s="12" t="s">
        <v>76</v>
      </c>
      <c r="AY152" s="153" t="s">
        <v>144</v>
      </c>
    </row>
    <row r="153" spans="2:51" s="12" customFormat="1" ht="12">
      <c r="B153" s="152"/>
      <c r="D153" s="145" t="s">
        <v>249</v>
      </c>
      <c r="E153" s="153" t="s">
        <v>19</v>
      </c>
      <c r="F153" s="154" t="s">
        <v>1365</v>
      </c>
      <c r="H153" s="155">
        <v>-0.145</v>
      </c>
      <c r="I153" s="156"/>
      <c r="L153" s="152"/>
      <c r="M153" s="157"/>
      <c r="T153" s="158"/>
      <c r="AT153" s="153" t="s">
        <v>249</v>
      </c>
      <c r="AU153" s="153" t="s">
        <v>86</v>
      </c>
      <c r="AV153" s="12" t="s">
        <v>86</v>
      </c>
      <c r="AW153" s="12" t="s">
        <v>37</v>
      </c>
      <c r="AX153" s="12" t="s">
        <v>76</v>
      </c>
      <c r="AY153" s="153" t="s">
        <v>144</v>
      </c>
    </row>
    <row r="154" spans="2:51" s="12" customFormat="1" ht="12">
      <c r="B154" s="152"/>
      <c r="D154" s="145" t="s">
        <v>249</v>
      </c>
      <c r="E154" s="153" t="s">
        <v>19</v>
      </c>
      <c r="F154" s="154" t="s">
        <v>1366</v>
      </c>
      <c r="H154" s="155">
        <v>-1.12</v>
      </c>
      <c r="I154" s="156"/>
      <c r="L154" s="152"/>
      <c r="M154" s="157"/>
      <c r="T154" s="158"/>
      <c r="AT154" s="153" t="s">
        <v>249</v>
      </c>
      <c r="AU154" s="153" t="s">
        <v>86</v>
      </c>
      <c r="AV154" s="12" t="s">
        <v>86</v>
      </c>
      <c r="AW154" s="12" t="s">
        <v>37</v>
      </c>
      <c r="AX154" s="12" t="s">
        <v>76</v>
      </c>
      <c r="AY154" s="153" t="s">
        <v>144</v>
      </c>
    </row>
    <row r="155" spans="2:51" s="12" customFormat="1" ht="12">
      <c r="B155" s="152"/>
      <c r="D155" s="145" t="s">
        <v>249</v>
      </c>
      <c r="E155" s="153" t="s">
        <v>19</v>
      </c>
      <c r="F155" s="154" t="s">
        <v>1367</v>
      </c>
      <c r="H155" s="155">
        <v>-1.244</v>
      </c>
      <c r="I155" s="156"/>
      <c r="L155" s="152"/>
      <c r="M155" s="157"/>
      <c r="T155" s="158"/>
      <c r="AT155" s="153" t="s">
        <v>249</v>
      </c>
      <c r="AU155" s="153" t="s">
        <v>86</v>
      </c>
      <c r="AV155" s="12" t="s">
        <v>86</v>
      </c>
      <c r="AW155" s="12" t="s">
        <v>37</v>
      </c>
      <c r="AX155" s="12" t="s">
        <v>76</v>
      </c>
      <c r="AY155" s="153" t="s">
        <v>144</v>
      </c>
    </row>
    <row r="156" spans="2:51" s="13" customFormat="1" ht="12">
      <c r="B156" s="159"/>
      <c r="D156" s="145" t="s">
        <v>249</v>
      </c>
      <c r="E156" s="160" t="s">
        <v>1268</v>
      </c>
      <c r="F156" s="161" t="s">
        <v>251</v>
      </c>
      <c r="H156" s="162">
        <v>107.8</v>
      </c>
      <c r="I156" s="163"/>
      <c r="L156" s="159"/>
      <c r="M156" s="164"/>
      <c r="T156" s="165"/>
      <c r="AT156" s="160" t="s">
        <v>249</v>
      </c>
      <c r="AU156" s="160" t="s">
        <v>86</v>
      </c>
      <c r="AV156" s="13" t="s">
        <v>166</v>
      </c>
      <c r="AW156" s="13" t="s">
        <v>37</v>
      </c>
      <c r="AX156" s="13" t="s">
        <v>84</v>
      </c>
      <c r="AY156" s="160" t="s">
        <v>144</v>
      </c>
    </row>
    <row r="157" spans="2:65" s="1" customFormat="1" ht="15" customHeight="1">
      <c r="B157" s="33"/>
      <c r="C157" s="172" t="s">
        <v>336</v>
      </c>
      <c r="D157" s="172" t="s">
        <v>410</v>
      </c>
      <c r="E157" s="173" t="s">
        <v>1368</v>
      </c>
      <c r="F157" s="174" t="s">
        <v>1369</v>
      </c>
      <c r="G157" s="175" t="s">
        <v>413</v>
      </c>
      <c r="H157" s="176">
        <v>274.63</v>
      </c>
      <c r="I157" s="177"/>
      <c r="J157" s="178">
        <f>ROUND(I157*H157,2)</f>
        <v>0</v>
      </c>
      <c r="K157" s="174" t="s">
        <v>151</v>
      </c>
      <c r="L157" s="179"/>
      <c r="M157" s="180" t="s">
        <v>19</v>
      </c>
      <c r="N157" s="181" t="s">
        <v>47</v>
      </c>
      <c r="P157" s="137">
        <f>O157*H157</f>
        <v>0</v>
      </c>
      <c r="Q157" s="137">
        <v>1</v>
      </c>
      <c r="R157" s="137">
        <f>Q157*H157</f>
        <v>274.63</v>
      </c>
      <c r="S157" s="137">
        <v>0</v>
      </c>
      <c r="T157" s="138">
        <f>S157*H157</f>
        <v>0</v>
      </c>
      <c r="AR157" s="139" t="s">
        <v>189</v>
      </c>
      <c r="AT157" s="139" t="s">
        <v>410</v>
      </c>
      <c r="AU157" s="139" t="s">
        <v>86</v>
      </c>
      <c r="AY157" s="18" t="s">
        <v>144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84</v>
      </c>
      <c r="BK157" s="140">
        <f>ROUND(I157*H157,2)</f>
        <v>0</v>
      </c>
      <c r="BL157" s="18" t="s">
        <v>166</v>
      </c>
      <c r="BM157" s="139" t="s">
        <v>1370</v>
      </c>
    </row>
    <row r="158" spans="2:65" s="1" customFormat="1" ht="36.6" customHeight="1">
      <c r="B158" s="33"/>
      <c r="C158" s="128" t="s">
        <v>343</v>
      </c>
      <c r="D158" s="128" t="s">
        <v>147</v>
      </c>
      <c r="E158" s="129" t="s">
        <v>1371</v>
      </c>
      <c r="F158" s="130" t="s">
        <v>1372</v>
      </c>
      <c r="G158" s="131" t="s">
        <v>246</v>
      </c>
      <c r="H158" s="132">
        <v>84</v>
      </c>
      <c r="I158" s="133"/>
      <c r="J158" s="134">
        <f>ROUND(I158*H158,2)</f>
        <v>0</v>
      </c>
      <c r="K158" s="130" t="s">
        <v>151</v>
      </c>
      <c r="L158" s="33"/>
      <c r="M158" s="135" t="s">
        <v>19</v>
      </c>
      <c r="N158" s="136" t="s">
        <v>47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166</v>
      </c>
      <c r="AT158" s="139" t="s">
        <v>147</v>
      </c>
      <c r="AU158" s="139" t="s">
        <v>86</v>
      </c>
      <c r="AY158" s="18" t="s">
        <v>144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8" t="s">
        <v>84</v>
      </c>
      <c r="BK158" s="140">
        <f>ROUND(I158*H158,2)</f>
        <v>0</v>
      </c>
      <c r="BL158" s="18" t="s">
        <v>166</v>
      </c>
      <c r="BM158" s="139" t="s">
        <v>1373</v>
      </c>
    </row>
    <row r="159" spans="2:47" s="1" customFormat="1" ht="12">
      <c r="B159" s="33"/>
      <c r="D159" s="141" t="s">
        <v>154</v>
      </c>
      <c r="F159" s="142" t="s">
        <v>1374</v>
      </c>
      <c r="I159" s="143"/>
      <c r="L159" s="33"/>
      <c r="M159" s="144"/>
      <c r="T159" s="54"/>
      <c r="AT159" s="18" t="s">
        <v>154</v>
      </c>
      <c r="AU159" s="18" t="s">
        <v>86</v>
      </c>
    </row>
    <row r="160" spans="2:51" s="12" customFormat="1" ht="12">
      <c r="B160" s="152"/>
      <c r="D160" s="145" t="s">
        <v>249</v>
      </c>
      <c r="E160" s="153" t="s">
        <v>19</v>
      </c>
      <c r="F160" s="154" t="s">
        <v>1244</v>
      </c>
      <c r="H160" s="155">
        <v>84</v>
      </c>
      <c r="I160" s="156"/>
      <c r="L160" s="152"/>
      <c r="M160" s="157"/>
      <c r="T160" s="158"/>
      <c r="AT160" s="153" t="s">
        <v>249</v>
      </c>
      <c r="AU160" s="153" t="s">
        <v>86</v>
      </c>
      <c r="AV160" s="12" t="s">
        <v>86</v>
      </c>
      <c r="AW160" s="12" t="s">
        <v>37</v>
      </c>
      <c r="AX160" s="12" t="s">
        <v>84</v>
      </c>
      <c r="AY160" s="153" t="s">
        <v>144</v>
      </c>
    </row>
    <row r="161" spans="2:65" s="1" customFormat="1" ht="15" customHeight="1">
      <c r="B161" s="33"/>
      <c r="C161" s="172" t="s">
        <v>350</v>
      </c>
      <c r="D161" s="172" t="s">
        <v>410</v>
      </c>
      <c r="E161" s="173" t="s">
        <v>1375</v>
      </c>
      <c r="F161" s="174" t="s">
        <v>1376</v>
      </c>
      <c r="G161" s="175" t="s">
        <v>944</v>
      </c>
      <c r="H161" s="176">
        <v>0.84</v>
      </c>
      <c r="I161" s="177"/>
      <c r="J161" s="178">
        <f>ROUND(I161*H161,2)</f>
        <v>0</v>
      </c>
      <c r="K161" s="174" t="s">
        <v>151</v>
      </c>
      <c r="L161" s="179"/>
      <c r="M161" s="180" t="s">
        <v>19</v>
      </c>
      <c r="N161" s="181" t="s">
        <v>47</v>
      </c>
      <c r="P161" s="137">
        <f>O161*H161</f>
        <v>0</v>
      </c>
      <c r="Q161" s="137">
        <v>0.001</v>
      </c>
      <c r="R161" s="137">
        <f>Q161*H161</f>
        <v>0.00084</v>
      </c>
      <c r="S161" s="137">
        <v>0</v>
      </c>
      <c r="T161" s="138">
        <f>S161*H161</f>
        <v>0</v>
      </c>
      <c r="AR161" s="139" t="s">
        <v>189</v>
      </c>
      <c r="AT161" s="139" t="s">
        <v>410</v>
      </c>
      <c r="AU161" s="139" t="s">
        <v>86</v>
      </c>
      <c r="AY161" s="18" t="s">
        <v>144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8" t="s">
        <v>84</v>
      </c>
      <c r="BK161" s="140">
        <f>ROUND(I161*H161,2)</f>
        <v>0</v>
      </c>
      <c r="BL161" s="18" t="s">
        <v>166</v>
      </c>
      <c r="BM161" s="139" t="s">
        <v>1377</v>
      </c>
    </row>
    <row r="162" spans="2:51" s="12" customFormat="1" ht="12">
      <c r="B162" s="152"/>
      <c r="D162" s="145" t="s">
        <v>249</v>
      </c>
      <c r="E162" s="153" t="s">
        <v>19</v>
      </c>
      <c r="F162" s="154" t="s">
        <v>1378</v>
      </c>
      <c r="H162" s="155">
        <v>0.84</v>
      </c>
      <c r="I162" s="156"/>
      <c r="L162" s="152"/>
      <c r="M162" s="157"/>
      <c r="T162" s="158"/>
      <c r="AT162" s="153" t="s">
        <v>249</v>
      </c>
      <c r="AU162" s="153" t="s">
        <v>86</v>
      </c>
      <c r="AV162" s="12" t="s">
        <v>86</v>
      </c>
      <c r="AW162" s="12" t="s">
        <v>37</v>
      </c>
      <c r="AX162" s="12" t="s">
        <v>84</v>
      </c>
      <c r="AY162" s="153" t="s">
        <v>144</v>
      </c>
    </row>
    <row r="163" spans="2:65" s="1" customFormat="1" ht="36.6" customHeight="1">
      <c r="B163" s="33"/>
      <c r="C163" s="128" t="s">
        <v>360</v>
      </c>
      <c r="D163" s="128" t="s">
        <v>147</v>
      </c>
      <c r="E163" s="129" t="s">
        <v>1379</v>
      </c>
      <c r="F163" s="130" t="s">
        <v>1380</v>
      </c>
      <c r="G163" s="131" t="s">
        <v>246</v>
      </c>
      <c r="H163" s="132">
        <v>84</v>
      </c>
      <c r="I163" s="133"/>
      <c r="J163" s="134">
        <f>ROUND(I163*H163,2)</f>
        <v>0</v>
      </c>
      <c r="K163" s="130" t="s">
        <v>151</v>
      </c>
      <c r="L163" s="33"/>
      <c r="M163" s="135" t="s">
        <v>19</v>
      </c>
      <c r="N163" s="136" t="s">
        <v>47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166</v>
      </c>
      <c r="AT163" s="139" t="s">
        <v>147</v>
      </c>
      <c r="AU163" s="139" t="s">
        <v>86</v>
      </c>
      <c r="AY163" s="18" t="s">
        <v>144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84</v>
      </c>
      <c r="BK163" s="140">
        <f>ROUND(I163*H163,2)</f>
        <v>0</v>
      </c>
      <c r="BL163" s="18" t="s">
        <v>166</v>
      </c>
      <c r="BM163" s="139" t="s">
        <v>1381</v>
      </c>
    </row>
    <row r="164" spans="2:47" s="1" customFormat="1" ht="12">
      <c r="B164" s="33"/>
      <c r="D164" s="141" t="s">
        <v>154</v>
      </c>
      <c r="F164" s="142" t="s">
        <v>1382</v>
      </c>
      <c r="I164" s="143"/>
      <c r="L164" s="33"/>
      <c r="M164" s="144"/>
      <c r="T164" s="54"/>
      <c r="AT164" s="18" t="s">
        <v>154</v>
      </c>
      <c r="AU164" s="18" t="s">
        <v>86</v>
      </c>
    </row>
    <row r="165" spans="2:51" s="12" customFormat="1" ht="12">
      <c r="B165" s="152"/>
      <c r="D165" s="145" t="s">
        <v>249</v>
      </c>
      <c r="E165" s="153" t="s">
        <v>19</v>
      </c>
      <c r="F165" s="154" t="s">
        <v>1244</v>
      </c>
      <c r="H165" s="155">
        <v>84</v>
      </c>
      <c r="I165" s="156"/>
      <c r="L165" s="152"/>
      <c r="M165" s="157"/>
      <c r="T165" s="158"/>
      <c r="AT165" s="153" t="s">
        <v>249</v>
      </c>
      <c r="AU165" s="153" t="s">
        <v>86</v>
      </c>
      <c r="AV165" s="12" t="s">
        <v>86</v>
      </c>
      <c r="AW165" s="12" t="s">
        <v>37</v>
      </c>
      <c r="AX165" s="12" t="s">
        <v>84</v>
      </c>
      <c r="AY165" s="153" t="s">
        <v>144</v>
      </c>
    </row>
    <row r="166" spans="2:63" s="11" customFormat="1" ht="22.8" customHeight="1">
      <c r="B166" s="116"/>
      <c r="D166" s="117" t="s">
        <v>75</v>
      </c>
      <c r="E166" s="126" t="s">
        <v>86</v>
      </c>
      <c r="F166" s="126" t="s">
        <v>428</v>
      </c>
      <c r="I166" s="119"/>
      <c r="J166" s="127">
        <f>BK166</f>
        <v>0</v>
      </c>
      <c r="L166" s="116"/>
      <c r="M166" s="121"/>
      <c r="P166" s="122">
        <f>SUM(P167:P177)</f>
        <v>0</v>
      </c>
      <c r="R166" s="122">
        <f>SUM(R167:R177)</f>
        <v>0.09901344000000001</v>
      </c>
      <c r="T166" s="123">
        <f>SUM(T167:T177)</f>
        <v>0</v>
      </c>
      <c r="AR166" s="117" t="s">
        <v>84</v>
      </c>
      <c r="AT166" s="124" t="s">
        <v>75</v>
      </c>
      <c r="AU166" s="124" t="s">
        <v>84</v>
      </c>
      <c r="AY166" s="117" t="s">
        <v>144</v>
      </c>
      <c r="BK166" s="125">
        <f>SUM(BK167:BK177)</f>
        <v>0</v>
      </c>
    </row>
    <row r="167" spans="2:65" s="1" customFormat="1" ht="36.6" customHeight="1">
      <c r="B167" s="33"/>
      <c r="C167" s="128" t="s">
        <v>7</v>
      </c>
      <c r="D167" s="128" t="s">
        <v>147</v>
      </c>
      <c r="E167" s="129" t="s">
        <v>1383</v>
      </c>
      <c r="F167" s="130" t="s">
        <v>1384</v>
      </c>
      <c r="G167" s="131" t="s">
        <v>246</v>
      </c>
      <c r="H167" s="132">
        <v>288</v>
      </c>
      <c r="I167" s="133"/>
      <c r="J167" s="134">
        <f>ROUND(I167*H167,2)</f>
        <v>0</v>
      </c>
      <c r="K167" s="130" t="s">
        <v>151</v>
      </c>
      <c r="L167" s="33"/>
      <c r="M167" s="135" t="s">
        <v>19</v>
      </c>
      <c r="N167" s="136" t="s">
        <v>47</v>
      </c>
      <c r="P167" s="137">
        <f>O167*H167</f>
        <v>0</v>
      </c>
      <c r="Q167" s="137">
        <v>9.9E-05</v>
      </c>
      <c r="R167" s="137">
        <f>Q167*H167</f>
        <v>0.028512</v>
      </c>
      <c r="S167" s="137">
        <v>0</v>
      </c>
      <c r="T167" s="138">
        <f>S167*H167</f>
        <v>0</v>
      </c>
      <c r="AR167" s="139" t="s">
        <v>166</v>
      </c>
      <c r="AT167" s="139" t="s">
        <v>147</v>
      </c>
      <c r="AU167" s="139" t="s">
        <v>86</v>
      </c>
      <c r="AY167" s="18" t="s">
        <v>144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8" t="s">
        <v>84</v>
      </c>
      <c r="BK167" s="140">
        <f>ROUND(I167*H167,2)</f>
        <v>0</v>
      </c>
      <c r="BL167" s="18" t="s">
        <v>166</v>
      </c>
      <c r="BM167" s="139" t="s">
        <v>1385</v>
      </c>
    </row>
    <row r="168" spans="2:47" s="1" customFormat="1" ht="12">
      <c r="B168" s="33"/>
      <c r="D168" s="141" t="s">
        <v>154</v>
      </c>
      <c r="F168" s="142" t="s">
        <v>1386</v>
      </c>
      <c r="I168" s="143"/>
      <c r="L168" s="33"/>
      <c r="M168" s="144"/>
      <c r="T168" s="54"/>
      <c r="AT168" s="18" t="s">
        <v>154</v>
      </c>
      <c r="AU168" s="18" t="s">
        <v>86</v>
      </c>
    </row>
    <row r="169" spans="2:51" s="12" customFormat="1" ht="12">
      <c r="B169" s="152"/>
      <c r="D169" s="145" t="s">
        <v>249</v>
      </c>
      <c r="E169" s="153" t="s">
        <v>1273</v>
      </c>
      <c r="F169" s="154" t="s">
        <v>1387</v>
      </c>
      <c r="H169" s="155">
        <v>96</v>
      </c>
      <c r="I169" s="156"/>
      <c r="L169" s="152"/>
      <c r="M169" s="157"/>
      <c r="T169" s="158"/>
      <c r="AT169" s="153" t="s">
        <v>249</v>
      </c>
      <c r="AU169" s="153" t="s">
        <v>86</v>
      </c>
      <c r="AV169" s="12" t="s">
        <v>86</v>
      </c>
      <c r="AW169" s="12" t="s">
        <v>37</v>
      </c>
      <c r="AX169" s="12" t="s">
        <v>76</v>
      </c>
      <c r="AY169" s="153" t="s">
        <v>144</v>
      </c>
    </row>
    <row r="170" spans="2:51" s="12" customFormat="1" ht="12">
      <c r="B170" s="152"/>
      <c r="D170" s="145" t="s">
        <v>249</v>
      </c>
      <c r="E170" s="153" t="s">
        <v>1275</v>
      </c>
      <c r="F170" s="154" t="s">
        <v>1388</v>
      </c>
      <c r="H170" s="155">
        <v>192</v>
      </c>
      <c r="I170" s="156"/>
      <c r="L170" s="152"/>
      <c r="M170" s="157"/>
      <c r="T170" s="158"/>
      <c r="AT170" s="153" t="s">
        <v>249</v>
      </c>
      <c r="AU170" s="153" t="s">
        <v>86</v>
      </c>
      <c r="AV170" s="12" t="s">
        <v>86</v>
      </c>
      <c r="AW170" s="12" t="s">
        <v>37</v>
      </c>
      <c r="AX170" s="12" t="s">
        <v>76</v>
      </c>
      <c r="AY170" s="153" t="s">
        <v>144</v>
      </c>
    </row>
    <row r="171" spans="2:51" s="13" customFormat="1" ht="12">
      <c r="B171" s="159"/>
      <c r="D171" s="145" t="s">
        <v>249</v>
      </c>
      <c r="E171" s="160" t="s">
        <v>19</v>
      </c>
      <c r="F171" s="161" t="s">
        <v>251</v>
      </c>
      <c r="H171" s="162">
        <v>288</v>
      </c>
      <c r="I171" s="163"/>
      <c r="L171" s="159"/>
      <c r="M171" s="164"/>
      <c r="T171" s="165"/>
      <c r="AT171" s="160" t="s">
        <v>249</v>
      </c>
      <c r="AU171" s="160" t="s">
        <v>86</v>
      </c>
      <c r="AV171" s="13" t="s">
        <v>166</v>
      </c>
      <c r="AW171" s="13" t="s">
        <v>37</v>
      </c>
      <c r="AX171" s="13" t="s">
        <v>84</v>
      </c>
      <c r="AY171" s="160" t="s">
        <v>144</v>
      </c>
    </row>
    <row r="172" spans="2:65" s="1" customFormat="1" ht="23.7" customHeight="1">
      <c r="B172" s="33"/>
      <c r="C172" s="172" t="s">
        <v>377</v>
      </c>
      <c r="D172" s="172" t="s">
        <v>410</v>
      </c>
      <c r="E172" s="173" t="s">
        <v>1389</v>
      </c>
      <c r="F172" s="174" t="s">
        <v>1390</v>
      </c>
      <c r="G172" s="175" t="s">
        <v>246</v>
      </c>
      <c r="H172" s="176">
        <v>113.712</v>
      </c>
      <c r="I172" s="177"/>
      <c r="J172" s="178">
        <f>ROUND(I172*H172,2)</f>
        <v>0</v>
      </c>
      <c r="K172" s="174" t="s">
        <v>151</v>
      </c>
      <c r="L172" s="179"/>
      <c r="M172" s="180" t="s">
        <v>19</v>
      </c>
      <c r="N172" s="181" t="s">
        <v>47</v>
      </c>
      <c r="P172" s="137">
        <f>O172*H172</f>
        <v>0</v>
      </c>
      <c r="Q172" s="137">
        <v>0.0002</v>
      </c>
      <c r="R172" s="137">
        <f>Q172*H172</f>
        <v>0.022742400000000003</v>
      </c>
      <c r="S172" s="137">
        <v>0</v>
      </c>
      <c r="T172" s="138">
        <f>S172*H172</f>
        <v>0</v>
      </c>
      <c r="AR172" s="139" t="s">
        <v>189</v>
      </c>
      <c r="AT172" s="139" t="s">
        <v>410</v>
      </c>
      <c r="AU172" s="139" t="s">
        <v>86</v>
      </c>
      <c r="AY172" s="18" t="s">
        <v>144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84</v>
      </c>
      <c r="BK172" s="140">
        <f>ROUND(I172*H172,2)</f>
        <v>0</v>
      </c>
      <c r="BL172" s="18" t="s">
        <v>166</v>
      </c>
      <c r="BM172" s="139" t="s">
        <v>1391</v>
      </c>
    </row>
    <row r="173" spans="2:51" s="12" customFormat="1" ht="12">
      <c r="B173" s="152"/>
      <c r="D173" s="145" t="s">
        <v>249</v>
      </c>
      <c r="E173" s="153" t="s">
        <v>19</v>
      </c>
      <c r="F173" s="154" t="s">
        <v>1273</v>
      </c>
      <c r="H173" s="155">
        <v>96</v>
      </c>
      <c r="I173" s="156"/>
      <c r="L173" s="152"/>
      <c r="M173" s="157"/>
      <c r="T173" s="158"/>
      <c r="AT173" s="153" t="s">
        <v>249</v>
      </c>
      <c r="AU173" s="153" t="s">
        <v>86</v>
      </c>
      <c r="AV173" s="12" t="s">
        <v>86</v>
      </c>
      <c r="AW173" s="12" t="s">
        <v>37</v>
      </c>
      <c r="AX173" s="12" t="s">
        <v>76</v>
      </c>
      <c r="AY173" s="153" t="s">
        <v>144</v>
      </c>
    </row>
    <row r="174" spans="2:51" s="12" customFormat="1" ht="12">
      <c r="B174" s="152"/>
      <c r="D174" s="145" t="s">
        <v>249</v>
      </c>
      <c r="E174" s="153" t="s">
        <v>19</v>
      </c>
      <c r="F174" s="154" t="s">
        <v>1392</v>
      </c>
      <c r="H174" s="155">
        <v>113.712</v>
      </c>
      <c r="I174" s="156"/>
      <c r="L174" s="152"/>
      <c r="M174" s="157"/>
      <c r="T174" s="158"/>
      <c r="AT174" s="153" t="s">
        <v>249</v>
      </c>
      <c r="AU174" s="153" t="s">
        <v>86</v>
      </c>
      <c r="AV174" s="12" t="s">
        <v>86</v>
      </c>
      <c r="AW174" s="12" t="s">
        <v>37</v>
      </c>
      <c r="AX174" s="12" t="s">
        <v>84</v>
      </c>
      <c r="AY174" s="153" t="s">
        <v>144</v>
      </c>
    </row>
    <row r="175" spans="2:65" s="1" customFormat="1" ht="23.7" customHeight="1">
      <c r="B175" s="33"/>
      <c r="C175" s="172" t="s">
        <v>384</v>
      </c>
      <c r="D175" s="172" t="s">
        <v>410</v>
      </c>
      <c r="E175" s="173" t="s">
        <v>1393</v>
      </c>
      <c r="F175" s="174" t="s">
        <v>1394</v>
      </c>
      <c r="G175" s="175" t="s">
        <v>246</v>
      </c>
      <c r="H175" s="176">
        <v>227.424</v>
      </c>
      <c r="I175" s="177"/>
      <c r="J175" s="178">
        <f>ROUND(I175*H175,2)</f>
        <v>0</v>
      </c>
      <c r="K175" s="174" t="s">
        <v>151</v>
      </c>
      <c r="L175" s="179"/>
      <c r="M175" s="180" t="s">
        <v>19</v>
      </c>
      <c r="N175" s="181" t="s">
        <v>47</v>
      </c>
      <c r="P175" s="137">
        <f>O175*H175</f>
        <v>0</v>
      </c>
      <c r="Q175" s="137">
        <v>0.00021</v>
      </c>
      <c r="R175" s="137">
        <f>Q175*H175</f>
        <v>0.04775904</v>
      </c>
      <c r="S175" s="137">
        <v>0</v>
      </c>
      <c r="T175" s="138">
        <f>S175*H175</f>
        <v>0</v>
      </c>
      <c r="AR175" s="139" t="s">
        <v>189</v>
      </c>
      <c r="AT175" s="139" t="s">
        <v>410</v>
      </c>
      <c r="AU175" s="139" t="s">
        <v>86</v>
      </c>
      <c r="AY175" s="18" t="s">
        <v>144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84</v>
      </c>
      <c r="BK175" s="140">
        <f>ROUND(I175*H175,2)</f>
        <v>0</v>
      </c>
      <c r="BL175" s="18" t="s">
        <v>166</v>
      </c>
      <c r="BM175" s="139" t="s">
        <v>1395</v>
      </c>
    </row>
    <row r="176" spans="2:51" s="12" customFormat="1" ht="12">
      <c r="B176" s="152"/>
      <c r="D176" s="145" t="s">
        <v>249</v>
      </c>
      <c r="E176" s="153" t="s">
        <v>19</v>
      </c>
      <c r="F176" s="154" t="s">
        <v>1275</v>
      </c>
      <c r="H176" s="155">
        <v>192</v>
      </c>
      <c r="I176" s="156"/>
      <c r="L176" s="152"/>
      <c r="M176" s="157"/>
      <c r="T176" s="158"/>
      <c r="AT176" s="153" t="s">
        <v>249</v>
      </c>
      <c r="AU176" s="153" t="s">
        <v>86</v>
      </c>
      <c r="AV176" s="12" t="s">
        <v>86</v>
      </c>
      <c r="AW176" s="12" t="s">
        <v>37</v>
      </c>
      <c r="AX176" s="12" t="s">
        <v>76</v>
      </c>
      <c r="AY176" s="153" t="s">
        <v>144</v>
      </c>
    </row>
    <row r="177" spans="2:51" s="12" customFormat="1" ht="12">
      <c r="B177" s="152"/>
      <c r="D177" s="145" t="s">
        <v>249</v>
      </c>
      <c r="E177" s="153" t="s">
        <v>19</v>
      </c>
      <c r="F177" s="154" t="s">
        <v>1396</v>
      </c>
      <c r="H177" s="155">
        <v>227.424</v>
      </c>
      <c r="I177" s="156"/>
      <c r="L177" s="152"/>
      <c r="M177" s="157"/>
      <c r="T177" s="158"/>
      <c r="AT177" s="153" t="s">
        <v>249</v>
      </c>
      <c r="AU177" s="153" t="s">
        <v>86</v>
      </c>
      <c r="AV177" s="12" t="s">
        <v>86</v>
      </c>
      <c r="AW177" s="12" t="s">
        <v>37</v>
      </c>
      <c r="AX177" s="12" t="s">
        <v>84</v>
      </c>
      <c r="AY177" s="153" t="s">
        <v>144</v>
      </c>
    </row>
    <row r="178" spans="2:63" s="11" customFormat="1" ht="22.8" customHeight="1">
      <c r="B178" s="116"/>
      <c r="D178" s="117" t="s">
        <v>75</v>
      </c>
      <c r="E178" s="126" t="s">
        <v>162</v>
      </c>
      <c r="F178" s="126" t="s">
        <v>1036</v>
      </c>
      <c r="I178" s="119"/>
      <c r="J178" s="127">
        <f>BK178</f>
        <v>0</v>
      </c>
      <c r="L178" s="116"/>
      <c r="M178" s="121"/>
      <c r="P178" s="122">
        <f>SUM(P179:P181)</f>
        <v>0</v>
      </c>
      <c r="R178" s="122">
        <f>SUM(R179:R181)</f>
        <v>19.65534871168</v>
      </c>
      <c r="T178" s="123">
        <f>SUM(T179:T181)</f>
        <v>0</v>
      </c>
      <c r="AR178" s="117" t="s">
        <v>84</v>
      </c>
      <c r="AT178" s="124" t="s">
        <v>75</v>
      </c>
      <c r="AU178" s="124" t="s">
        <v>84</v>
      </c>
      <c r="AY178" s="117" t="s">
        <v>144</v>
      </c>
      <c r="BK178" s="125">
        <f>SUM(BK179:BK181)</f>
        <v>0</v>
      </c>
    </row>
    <row r="179" spans="2:65" s="1" customFormat="1" ht="63.9" customHeight="1">
      <c r="B179" s="33"/>
      <c r="C179" s="128" t="s">
        <v>389</v>
      </c>
      <c r="D179" s="128" t="s">
        <v>147</v>
      </c>
      <c r="E179" s="129" t="s">
        <v>1397</v>
      </c>
      <c r="F179" s="130" t="s">
        <v>1398</v>
      </c>
      <c r="G179" s="131" t="s">
        <v>324</v>
      </c>
      <c r="H179" s="132">
        <v>7.04</v>
      </c>
      <c r="I179" s="133"/>
      <c r="J179" s="134">
        <f>ROUND(I179*H179,2)</f>
        <v>0</v>
      </c>
      <c r="K179" s="130" t="s">
        <v>151</v>
      </c>
      <c r="L179" s="33"/>
      <c r="M179" s="135" t="s">
        <v>19</v>
      </c>
      <c r="N179" s="136" t="s">
        <v>47</v>
      </c>
      <c r="P179" s="137">
        <f>O179*H179</f>
        <v>0</v>
      </c>
      <c r="Q179" s="137">
        <v>2.791952942</v>
      </c>
      <c r="R179" s="137">
        <f>Q179*H179</f>
        <v>19.65534871168</v>
      </c>
      <c r="S179" s="137">
        <v>0</v>
      </c>
      <c r="T179" s="138">
        <f>S179*H179</f>
        <v>0</v>
      </c>
      <c r="AR179" s="139" t="s">
        <v>166</v>
      </c>
      <c r="AT179" s="139" t="s">
        <v>147</v>
      </c>
      <c r="AU179" s="139" t="s">
        <v>86</v>
      </c>
      <c r="AY179" s="18" t="s">
        <v>144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8" t="s">
        <v>84</v>
      </c>
      <c r="BK179" s="140">
        <f>ROUND(I179*H179,2)</f>
        <v>0</v>
      </c>
      <c r="BL179" s="18" t="s">
        <v>166</v>
      </c>
      <c r="BM179" s="139" t="s">
        <v>1399</v>
      </c>
    </row>
    <row r="180" spans="2:47" s="1" customFormat="1" ht="12">
      <c r="B180" s="33"/>
      <c r="D180" s="141" t="s">
        <v>154</v>
      </c>
      <c r="F180" s="142" t="s">
        <v>1400</v>
      </c>
      <c r="I180" s="143"/>
      <c r="L180" s="33"/>
      <c r="M180" s="144"/>
      <c r="T180" s="54"/>
      <c r="AT180" s="18" t="s">
        <v>154</v>
      </c>
      <c r="AU180" s="18" t="s">
        <v>86</v>
      </c>
    </row>
    <row r="181" spans="2:51" s="12" customFormat="1" ht="12">
      <c r="B181" s="152"/>
      <c r="D181" s="145" t="s">
        <v>249</v>
      </c>
      <c r="E181" s="153" t="s">
        <v>19</v>
      </c>
      <c r="F181" s="154" t="s">
        <v>1401</v>
      </c>
      <c r="H181" s="155">
        <v>7.04</v>
      </c>
      <c r="I181" s="156"/>
      <c r="L181" s="152"/>
      <c r="M181" s="157"/>
      <c r="T181" s="158"/>
      <c r="AT181" s="153" t="s">
        <v>249</v>
      </c>
      <c r="AU181" s="153" t="s">
        <v>86</v>
      </c>
      <c r="AV181" s="12" t="s">
        <v>86</v>
      </c>
      <c r="AW181" s="12" t="s">
        <v>37</v>
      </c>
      <c r="AX181" s="12" t="s">
        <v>84</v>
      </c>
      <c r="AY181" s="153" t="s">
        <v>144</v>
      </c>
    </row>
    <row r="182" spans="2:63" s="11" customFormat="1" ht="22.8" customHeight="1">
      <c r="B182" s="116"/>
      <c r="D182" s="117" t="s">
        <v>75</v>
      </c>
      <c r="E182" s="126" t="s">
        <v>166</v>
      </c>
      <c r="F182" s="126" t="s">
        <v>463</v>
      </c>
      <c r="I182" s="119"/>
      <c r="J182" s="127">
        <f>BK182</f>
        <v>0</v>
      </c>
      <c r="L182" s="116"/>
      <c r="M182" s="121"/>
      <c r="P182" s="122">
        <f>SUM(P183:P224)</f>
        <v>0</v>
      </c>
      <c r="R182" s="122">
        <f>SUM(R183:R224)</f>
        <v>104.9595780212</v>
      </c>
      <c r="T182" s="123">
        <f>SUM(T183:T224)</f>
        <v>0</v>
      </c>
      <c r="AR182" s="117" t="s">
        <v>84</v>
      </c>
      <c r="AT182" s="124" t="s">
        <v>75</v>
      </c>
      <c r="AU182" s="124" t="s">
        <v>84</v>
      </c>
      <c r="AY182" s="117" t="s">
        <v>144</v>
      </c>
      <c r="BK182" s="125">
        <f>SUM(BK183:BK224)</f>
        <v>0</v>
      </c>
    </row>
    <row r="183" spans="2:65" s="1" customFormat="1" ht="31.95" customHeight="1">
      <c r="B183" s="33"/>
      <c r="C183" s="128" t="s">
        <v>397</v>
      </c>
      <c r="D183" s="128" t="s">
        <v>147</v>
      </c>
      <c r="E183" s="129" t="s">
        <v>1402</v>
      </c>
      <c r="F183" s="130" t="s">
        <v>1403</v>
      </c>
      <c r="G183" s="131" t="s">
        <v>324</v>
      </c>
      <c r="H183" s="132">
        <v>22.455</v>
      </c>
      <c r="I183" s="133"/>
      <c r="J183" s="134">
        <f>ROUND(I183*H183,2)</f>
        <v>0</v>
      </c>
      <c r="K183" s="130" t="s">
        <v>151</v>
      </c>
      <c r="L183" s="33"/>
      <c r="M183" s="135" t="s">
        <v>19</v>
      </c>
      <c r="N183" s="136" t="s">
        <v>47</v>
      </c>
      <c r="P183" s="137">
        <f>O183*H183</f>
        <v>0</v>
      </c>
      <c r="Q183" s="137">
        <v>1.89077</v>
      </c>
      <c r="R183" s="137">
        <f>Q183*H183</f>
        <v>42.45724035</v>
      </c>
      <c r="S183" s="137">
        <v>0</v>
      </c>
      <c r="T183" s="138">
        <f>S183*H183</f>
        <v>0</v>
      </c>
      <c r="AR183" s="139" t="s">
        <v>166</v>
      </c>
      <c r="AT183" s="139" t="s">
        <v>147</v>
      </c>
      <c r="AU183" s="139" t="s">
        <v>86</v>
      </c>
      <c r="AY183" s="18" t="s">
        <v>144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84</v>
      </c>
      <c r="BK183" s="140">
        <f>ROUND(I183*H183,2)</f>
        <v>0</v>
      </c>
      <c r="BL183" s="18" t="s">
        <v>166</v>
      </c>
      <c r="BM183" s="139" t="s">
        <v>1404</v>
      </c>
    </row>
    <row r="184" spans="2:47" s="1" customFormat="1" ht="12">
      <c r="B184" s="33"/>
      <c r="D184" s="141" t="s">
        <v>154</v>
      </c>
      <c r="F184" s="142" t="s">
        <v>1405</v>
      </c>
      <c r="I184" s="143"/>
      <c r="L184" s="33"/>
      <c r="M184" s="144"/>
      <c r="T184" s="54"/>
      <c r="AT184" s="18" t="s">
        <v>154</v>
      </c>
      <c r="AU184" s="18" t="s">
        <v>86</v>
      </c>
    </row>
    <row r="185" spans="2:51" s="12" customFormat="1" ht="12">
      <c r="B185" s="152"/>
      <c r="D185" s="145" t="s">
        <v>249</v>
      </c>
      <c r="E185" s="153" t="s">
        <v>19</v>
      </c>
      <c r="F185" s="154" t="s">
        <v>1406</v>
      </c>
      <c r="H185" s="155">
        <v>0.708</v>
      </c>
      <c r="I185" s="156"/>
      <c r="L185" s="152"/>
      <c r="M185" s="157"/>
      <c r="T185" s="158"/>
      <c r="AT185" s="153" t="s">
        <v>249</v>
      </c>
      <c r="AU185" s="153" t="s">
        <v>86</v>
      </c>
      <c r="AV185" s="12" t="s">
        <v>86</v>
      </c>
      <c r="AW185" s="12" t="s">
        <v>37</v>
      </c>
      <c r="AX185" s="12" t="s">
        <v>76</v>
      </c>
      <c r="AY185" s="153" t="s">
        <v>144</v>
      </c>
    </row>
    <row r="186" spans="2:51" s="12" customFormat="1" ht="12">
      <c r="B186" s="152"/>
      <c r="D186" s="145" t="s">
        <v>249</v>
      </c>
      <c r="E186" s="153" t="s">
        <v>19</v>
      </c>
      <c r="F186" s="154" t="s">
        <v>1407</v>
      </c>
      <c r="H186" s="155">
        <v>0.192</v>
      </c>
      <c r="I186" s="156"/>
      <c r="L186" s="152"/>
      <c r="M186" s="157"/>
      <c r="T186" s="158"/>
      <c r="AT186" s="153" t="s">
        <v>249</v>
      </c>
      <c r="AU186" s="153" t="s">
        <v>86</v>
      </c>
      <c r="AV186" s="12" t="s">
        <v>86</v>
      </c>
      <c r="AW186" s="12" t="s">
        <v>37</v>
      </c>
      <c r="AX186" s="12" t="s">
        <v>76</v>
      </c>
      <c r="AY186" s="153" t="s">
        <v>144</v>
      </c>
    </row>
    <row r="187" spans="2:51" s="12" customFormat="1" ht="12">
      <c r="B187" s="152"/>
      <c r="D187" s="145" t="s">
        <v>249</v>
      </c>
      <c r="E187" s="153" t="s">
        <v>19</v>
      </c>
      <c r="F187" s="154" t="s">
        <v>1408</v>
      </c>
      <c r="H187" s="155">
        <v>5.28</v>
      </c>
      <c r="I187" s="156"/>
      <c r="L187" s="152"/>
      <c r="M187" s="157"/>
      <c r="T187" s="158"/>
      <c r="AT187" s="153" t="s">
        <v>249</v>
      </c>
      <c r="AU187" s="153" t="s">
        <v>86</v>
      </c>
      <c r="AV187" s="12" t="s">
        <v>86</v>
      </c>
      <c r="AW187" s="12" t="s">
        <v>37</v>
      </c>
      <c r="AX187" s="12" t="s">
        <v>76</v>
      </c>
      <c r="AY187" s="153" t="s">
        <v>144</v>
      </c>
    </row>
    <row r="188" spans="2:51" s="12" customFormat="1" ht="12">
      <c r="B188" s="152"/>
      <c r="D188" s="145" t="s">
        <v>249</v>
      </c>
      <c r="E188" s="153" t="s">
        <v>19</v>
      </c>
      <c r="F188" s="154" t="s">
        <v>1409</v>
      </c>
      <c r="H188" s="155">
        <v>3.3</v>
      </c>
      <c r="I188" s="156"/>
      <c r="L188" s="152"/>
      <c r="M188" s="157"/>
      <c r="T188" s="158"/>
      <c r="AT188" s="153" t="s">
        <v>249</v>
      </c>
      <c r="AU188" s="153" t="s">
        <v>86</v>
      </c>
      <c r="AV188" s="12" t="s">
        <v>86</v>
      </c>
      <c r="AW188" s="12" t="s">
        <v>37</v>
      </c>
      <c r="AX188" s="12" t="s">
        <v>76</v>
      </c>
      <c r="AY188" s="153" t="s">
        <v>144</v>
      </c>
    </row>
    <row r="189" spans="2:51" s="12" customFormat="1" ht="12">
      <c r="B189" s="152"/>
      <c r="D189" s="145" t="s">
        <v>249</v>
      </c>
      <c r="E189" s="153" t="s">
        <v>19</v>
      </c>
      <c r="F189" s="154" t="s">
        <v>1410</v>
      </c>
      <c r="H189" s="155">
        <v>0.375</v>
      </c>
      <c r="I189" s="156"/>
      <c r="L189" s="152"/>
      <c r="M189" s="157"/>
      <c r="T189" s="158"/>
      <c r="AT189" s="153" t="s">
        <v>249</v>
      </c>
      <c r="AU189" s="153" t="s">
        <v>86</v>
      </c>
      <c r="AV189" s="12" t="s">
        <v>86</v>
      </c>
      <c r="AW189" s="12" t="s">
        <v>37</v>
      </c>
      <c r="AX189" s="12" t="s">
        <v>76</v>
      </c>
      <c r="AY189" s="153" t="s">
        <v>144</v>
      </c>
    </row>
    <row r="190" spans="2:51" s="12" customFormat="1" ht="12">
      <c r="B190" s="152"/>
      <c r="D190" s="145" t="s">
        <v>249</v>
      </c>
      <c r="E190" s="153" t="s">
        <v>19</v>
      </c>
      <c r="F190" s="154" t="s">
        <v>1411</v>
      </c>
      <c r="H190" s="155">
        <v>12.6</v>
      </c>
      <c r="I190" s="156"/>
      <c r="L190" s="152"/>
      <c r="M190" s="157"/>
      <c r="T190" s="158"/>
      <c r="AT190" s="153" t="s">
        <v>249</v>
      </c>
      <c r="AU190" s="153" t="s">
        <v>86</v>
      </c>
      <c r="AV190" s="12" t="s">
        <v>86</v>
      </c>
      <c r="AW190" s="12" t="s">
        <v>37</v>
      </c>
      <c r="AX190" s="12" t="s">
        <v>76</v>
      </c>
      <c r="AY190" s="153" t="s">
        <v>144</v>
      </c>
    </row>
    <row r="191" spans="2:51" s="13" customFormat="1" ht="12">
      <c r="B191" s="159"/>
      <c r="D191" s="145" t="s">
        <v>249</v>
      </c>
      <c r="E191" s="160" t="s">
        <v>1261</v>
      </c>
      <c r="F191" s="161" t="s">
        <v>251</v>
      </c>
      <c r="H191" s="162">
        <v>22.455</v>
      </c>
      <c r="I191" s="163"/>
      <c r="L191" s="159"/>
      <c r="M191" s="164"/>
      <c r="T191" s="165"/>
      <c r="AT191" s="160" t="s">
        <v>249</v>
      </c>
      <c r="AU191" s="160" t="s">
        <v>86</v>
      </c>
      <c r="AV191" s="13" t="s">
        <v>166</v>
      </c>
      <c r="AW191" s="13" t="s">
        <v>37</v>
      </c>
      <c r="AX191" s="13" t="s">
        <v>84</v>
      </c>
      <c r="AY191" s="160" t="s">
        <v>144</v>
      </c>
    </row>
    <row r="192" spans="2:65" s="1" customFormat="1" ht="31.95" customHeight="1">
      <c r="B192" s="33"/>
      <c r="C192" s="128" t="s">
        <v>403</v>
      </c>
      <c r="D192" s="128" t="s">
        <v>147</v>
      </c>
      <c r="E192" s="129" t="s">
        <v>1412</v>
      </c>
      <c r="F192" s="130" t="s">
        <v>1413</v>
      </c>
      <c r="G192" s="131" t="s">
        <v>467</v>
      </c>
      <c r="H192" s="132">
        <v>105</v>
      </c>
      <c r="I192" s="133"/>
      <c r="J192" s="134">
        <f>ROUND(I192*H192,2)</f>
        <v>0</v>
      </c>
      <c r="K192" s="130" t="s">
        <v>151</v>
      </c>
      <c r="L192" s="33"/>
      <c r="M192" s="135" t="s">
        <v>19</v>
      </c>
      <c r="N192" s="136" t="s">
        <v>47</v>
      </c>
      <c r="P192" s="137">
        <f>O192*H192</f>
        <v>0</v>
      </c>
      <c r="Q192" s="137">
        <v>0.00165</v>
      </c>
      <c r="R192" s="137">
        <f>Q192*H192</f>
        <v>0.17325</v>
      </c>
      <c r="S192" s="137">
        <v>0</v>
      </c>
      <c r="T192" s="138">
        <f>S192*H192</f>
        <v>0</v>
      </c>
      <c r="AR192" s="139" t="s">
        <v>166</v>
      </c>
      <c r="AT192" s="139" t="s">
        <v>147</v>
      </c>
      <c r="AU192" s="139" t="s">
        <v>86</v>
      </c>
      <c r="AY192" s="18" t="s">
        <v>144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8" t="s">
        <v>84</v>
      </c>
      <c r="BK192" s="140">
        <f>ROUND(I192*H192,2)</f>
        <v>0</v>
      </c>
      <c r="BL192" s="18" t="s">
        <v>166</v>
      </c>
      <c r="BM192" s="139" t="s">
        <v>1414</v>
      </c>
    </row>
    <row r="193" spans="2:47" s="1" customFormat="1" ht="12">
      <c r="B193" s="33"/>
      <c r="D193" s="141" t="s">
        <v>154</v>
      </c>
      <c r="F193" s="142" t="s">
        <v>1415</v>
      </c>
      <c r="I193" s="143"/>
      <c r="L193" s="33"/>
      <c r="M193" s="144"/>
      <c r="T193" s="54"/>
      <c r="AT193" s="18" t="s">
        <v>154</v>
      </c>
      <c r="AU193" s="18" t="s">
        <v>86</v>
      </c>
    </row>
    <row r="194" spans="2:51" s="12" customFormat="1" ht="12">
      <c r="B194" s="152"/>
      <c r="D194" s="145" t="s">
        <v>249</v>
      </c>
      <c r="E194" s="153" t="s">
        <v>19</v>
      </c>
      <c r="F194" s="154" t="s">
        <v>1416</v>
      </c>
      <c r="H194" s="155">
        <v>41.952</v>
      </c>
      <c r="I194" s="156"/>
      <c r="L194" s="152"/>
      <c r="M194" s="157"/>
      <c r="T194" s="158"/>
      <c r="AT194" s="153" t="s">
        <v>249</v>
      </c>
      <c r="AU194" s="153" t="s">
        <v>86</v>
      </c>
      <c r="AV194" s="12" t="s">
        <v>86</v>
      </c>
      <c r="AW194" s="12" t="s">
        <v>37</v>
      </c>
      <c r="AX194" s="12" t="s">
        <v>76</v>
      </c>
      <c r="AY194" s="153" t="s">
        <v>144</v>
      </c>
    </row>
    <row r="195" spans="2:51" s="12" customFormat="1" ht="12">
      <c r="B195" s="152"/>
      <c r="D195" s="145" t="s">
        <v>249</v>
      </c>
      <c r="E195" s="153" t="s">
        <v>19</v>
      </c>
      <c r="F195" s="154" t="s">
        <v>1417</v>
      </c>
      <c r="H195" s="155">
        <v>50.16</v>
      </c>
      <c r="I195" s="156"/>
      <c r="L195" s="152"/>
      <c r="M195" s="157"/>
      <c r="T195" s="158"/>
      <c r="AT195" s="153" t="s">
        <v>249</v>
      </c>
      <c r="AU195" s="153" t="s">
        <v>86</v>
      </c>
      <c r="AV195" s="12" t="s">
        <v>86</v>
      </c>
      <c r="AW195" s="12" t="s">
        <v>37</v>
      </c>
      <c r="AX195" s="12" t="s">
        <v>76</v>
      </c>
      <c r="AY195" s="153" t="s">
        <v>144</v>
      </c>
    </row>
    <row r="196" spans="2:51" s="12" customFormat="1" ht="12">
      <c r="B196" s="152"/>
      <c r="D196" s="145" t="s">
        <v>249</v>
      </c>
      <c r="E196" s="153" t="s">
        <v>19</v>
      </c>
      <c r="F196" s="154" t="s">
        <v>1418</v>
      </c>
      <c r="H196" s="155">
        <v>12.98</v>
      </c>
      <c r="I196" s="156"/>
      <c r="L196" s="152"/>
      <c r="M196" s="157"/>
      <c r="T196" s="158"/>
      <c r="AT196" s="153" t="s">
        <v>249</v>
      </c>
      <c r="AU196" s="153" t="s">
        <v>86</v>
      </c>
      <c r="AV196" s="12" t="s">
        <v>86</v>
      </c>
      <c r="AW196" s="12" t="s">
        <v>37</v>
      </c>
      <c r="AX196" s="12" t="s">
        <v>76</v>
      </c>
      <c r="AY196" s="153" t="s">
        <v>144</v>
      </c>
    </row>
    <row r="197" spans="2:51" s="15" customFormat="1" ht="12">
      <c r="B197" s="182"/>
      <c r="D197" s="145" t="s">
        <v>249</v>
      </c>
      <c r="E197" s="183" t="s">
        <v>19</v>
      </c>
      <c r="F197" s="184" t="s">
        <v>445</v>
      </c>
      <c r="H197" s="185">
        <v>105.092</v>
      </c>
      <c r="I197" s="186"/>
      <c r="L197" s="182"/>
      <c r="M197" s="187"/>
      <c r="T197" s="188"/>
      <c r="AT197" s="183" t="s">
        <v>249</v>
      </c>
      <c r="AU197" s="183" t="s">
        <v>86</v>
      </c>
      <c r="AV197" s="15" t="s">
        <v>162</v>
      </c>
      <c r="AW197" s="15" t="s">
        <v>37</v>
      </c>
      <c r="AX197" s="15" t="s">
        <v>76</v>
      </c>
      <c r="AY197" s="183" t="s">
        <v>144</v>
      </c>
    </row>
    <row r="198" spans="2:51" s="12" customFormat="1" ht="12">
      <c r="B198" s="152"/>
      <c r="D198" s="145" t="s">
        <v>249</v>
      </c>
      <c r="E198" s="153" t="s">
        <v>1278</v>
      </c>
      <c r="F198" s="154" t="s">
        <v>848</v>
      </c>
      <c r="H198" s="155">
        <v>105</v>
      </c>
      <c r="I198" s="156"/>
      <c r="L198" s="152"/>
      <c r="M198" s="157"/>
      <c r="T198" s="158"/>
      <c r="AT198" s="153" t="s">
        <v>249</v>
      </c>
      <c r="AU198" s="153" t="s">
        <v>86</v>
      </c>
      <c r="AV198" s="12" t="s">
        <v>86</v>
      </c>
      <c r="AW198" s="12" t="s">
        <v>37</v>
      </c>
      <c r="AX198" s="12" t="s">
        <v>84</v>
      </c>
      <c r="AY198" s="153" t="s">
        <v>144</v>
      </c>
    </row>
    <row r="199" spans="2:65" s="1" customFormat="1" ht="15" customHeight="1">
      <c r="B199" s="33"/>
      <c r="C199" s="172" t="s">
        <v>409</v>
      </c>
      <c r="D199" s="172" t="s">
        <v>410</v>
      </c>
      <c r="E199" s="173" t="s">
        <v>776</v>
      </c>
      <c r="F199" s="174" t="s">
        <v>777</v>
      </c>
      <c r="G199" s="175" t="s">
        <v>308</v>
      </c>
      <c r="H199" s="176">
        <v>105</v>
      </c>
      <c r="I199" s="177"/>
      <c r="J199" s="178">
        <f>ROUND(I199*H199,2)</f>
        <v>0</v>
      </c>
      <c r="K199" s="174" t="s">
        <v>151</v>
      </c>
      <c r="L199" s="179"/>
      <c r="M199" s="180" t="s">
        <v>19</v>
      </c>
      <c r="N199" s="181" t="s">
        <v>47</v>
      </c>
      <c r="P199" s="137">
        <f>O199*H199</f>
        <v>0</v>
      </c>
      <c r="Q199" s="137">
        <v>0.08</v>
      </c>
      <c r="R199" s="137">
        <f>Q199*H199</f>
        <v>8.4</v>
      </c>
      <c r="S199" s="137">
        <v>0</v>
      </c>
      <c r="T199" s="138">
        <f>S199*H199</f>
        <v>0</v>
      </c>
      <c r="AR199" s="139" t="s">
        <v>189</v>
      </c>
      <c r="AT199" s="139" t="s">
        <v>410</v>
      </c>
      <c r="AU199" s="139" t="s">
        <v>86</v>
      </c>
      <c r="AY199" s="18" t="s">
        <v>144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8" t="s">
        <v>84</v>
      </c>
      <c r="BK199" s="140">
        <f>ROUND(I199*H199,2)</f>
        <v>0</v>
      </c>
      <c r="BL199" s="18" t="s">
        <v>166</v>
      </c>
      <c r="BM199" s="139" t="s">
        <v>1419</v>
      </c>
    </row>
    <row r="200" spans="2:51" s="12" customFormat="1" ht="12">
      <c r="B200" s="152"/>
      <c r="D200" s="145" t="s">
        <v>249</v>
      </c>
      <c r="E200" s="153" t="s">
        <v>19</v>
      </c>
      <c r="F200" s="154" t="s">
        <v>1278</v>
      </c>
      <c r="H200" s="155">
        <v>105</v>
      </c>
      <c r="I200" s="156"/>
      <c r="L200" s="152"/>
      <c r="M200" s="157"/>
      <c r="T200" s="158"/>
      <c r="AT200" s="153" t="s">
        <v>249</v>
      </c>
      <c r="AU200" s="153" t="s">
        <v>86</v>
      </c>
      <c r="AV200" s="12" t="s">
        <v>86</v>
      </c>
      <c r="AW200" s="12" t="s">
        <v>37</v>
      </c>
      <c r="AX200" s="12" t="s">
        <v>84</v>
      </c>
      <c r="AY200" s="153" t="s">
        <v>144</v>
      </c>
    </row>
    <row r="201" spans="2:65" s="1" customFormat="1" ht="21.3" customHeight="1">
      <c r="B201" s="33"/>
      <c r="C201" s="128" t="s">
        <v>416</v>
      </c>
      <c r="D201" s="128" t="s">
        <v>147</v>
      </c>
      <c r="E201" s="129" t="s">
        <v>1420</v>
      </c>
      <c r="F201" s="130" t="s">
        <v>1421</v>
      </c>
      <c r="G201" s="131" t="s">
        <v>467</v>
      </c>
      <c r="H201" s="132">
        <v>5</v>
      </c>
      <c r="I201" s="133"/>
      <c r="J201" s="134">
        <f>ROUND(I201*H201,2)</f>
        <v>0</v>
      </c>
      <c r="K201" s="130" t="s">
        <v>19</v>
      </c>
      <c r="L201" s="33"/>
      <c r="M201" s="135" t="s">
        <v>19</v>
      </c>
      <c r="N201" s="136" t="s">
        <v>47</v>
      </c>
      <c r="P201" s="137">
        <f>O201*H201</f>
        <v>0</v>
      </c>
      <c r="Q201" s="137">
        <v>0.0066</v>
      </c>
      <c r="R201" s="137">
        <f>Q201*H201</f>
        <v>0.033</v>
      </c>
      <c r="S201" s="137">
        <v>0</v>
      </c>
      <c r="T201" s="138">
        <f>S201*H201</f>
        <v>0</v>
      </c>
      <c r="AR201" s="139" t="s">
        <v>166</v>
      </c>
      <c r="AT201" s="139" t="s">
        <v>147</v>
      </c>
      <c r="AU201" s="139" t="s">
        <v>86</v>
      </c>
      <c r="AY201" s="18" t="s">
        <v>144</v>
      </c>
      <c r="BE201" s="140">
        <f>IF(N201="základní",J201,0)</f>
        <v>0</v>
      </c>
      <c r="BF201" s="140">
        <f>IF(N201="snížená",J201,0)</f>
        <v>0</v>
      </c>
      <c r="BG201" s="140">
        <f>IF(N201="zákl. přenesená",J201,0)</f>
        <v>0</v>
      </c>
      <c r="BH201" s="140">
        <f>IF(N201="sníž. přenesená",J201,0)</f>
        <v>0</v>
      </c>
      <c r="BI201" s="140">
        <f>IF(N201="nulová",J201,0)</f>
        <v>0</v>
      </c>
      <c r="BJ201" s="18" t="s">
        <v>84</v>
      </c>
      <c r="BK201" s="140">
        <f>ROUND(I201*H201,2)</f>
        <v>0</v>
      </c>
      <c r="BL201" s="18" t="s">
        <v>166</v>
      </c>
      <c r="BM201" s="139" t="s">
        <v>1422</v>
      </c>
    </row>
    <row r="202" spans="2:65" s="1" customFormat="1" ht="21.3" customHeight="1">
      <c r="B202" s="33"/>
      <c r="C202" s="172" t="s">
        <v>422</v>
      </c>
      <c r="D202" s="172" t="s">
        <v>410</v>
      </c>
      <c r="E202" s="173" t="s">
        <v>1423</v>
      </c>
      <c r="F202" s="174" t="s">
        <v>1424</v>
      </c>
      <c r="G202" s="175" t="s">
        <v>467</v>
      </c>
      <c r="H202" s="176">
        <v>2</v>
      </c>
      <c r="I202" s="177"/>
      <c r="J202" s="178">
        <f>ROUND(I202*H202,2)</f>
        <v>0</v>
      </c>
      <c r="K202" s="174" t="s">
        <v>151</v>
      </c>
      <c r="L202" s="179"/>
      <c r="M202" s="180" t="s">
        <v>19</v>
      </c>
      <c r="N202" s="181" t="s">
        <v>47</v>
      </c>
      <c r="P202" s="137">
        <f>O202*H202</f>
        <v>0</v>
      </c>
      <c r="Q202" s="137">
        <v>0.041</v>
      </c>
      <c r="R202" s="137">
        <f>Q202*H202</f>
        <v>0.082</v>
      </c>
      <c r="S202" s="137">
        <v>0</v>
      </c>
      <c r="T202" s="138">
        <f>S202*H202</f>
        <v>0</v>
      </c>
      <c r="AR202" s="139" t="s">
        <v>189</v>
      </c>
      <c r="AT202" s="139" t="s">
        <v>410</v>
      </c>
      <c r="AU202" s="139" t="s">
        <v>86</v>
      </c>
      <c r="AY202" s="18" t="s">
        <v>144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8" t="s">
        <v>84</v>
      </c>
      <c r="BK202" s="140">
        <f>ROUND(I202*H202,2)</f>
        <v>0</v>
      </c>
      <c r="BL202" s="18" t="s">
        <v>166</v>
      </c>
      <c r="BM202" s="139" t="s">
        <v>1425</v>
      </c>
    </row>
    <row r="203" spans="2:65" s="1" customFormat="1" ht="23.7" customHeight="1">
      <c r="B203" s="33"/>
      <c r="C203" s="172" t="s">
        <v>429</v>
      </c>
      <c r="D203" s="172" t="s">
        <v>410</v>
      </c>
      <c r="E203" s="173" t="s">
        <v>1426</v>
      </c>
      <c r="F203" s="174" t="s">
        <v>1427</v>
      </c>
      <c r="G203" s="175" t="s">
        <v>467</v>
      </c>
      <c r="H203" s="176">
        <v>3</v>
      </c>
      <c r="I203" s="177"/>
      <c r="J203" s="178">
        <f>ROUND(I203*H203,2)</f>
        <v>0</v>
      </c>
      <c r="K203" s="174" t="s">
        <v>151</v>
      </c>
      <c r="L203" s="179"/>
      <c r="M203" s="180" t="s">
        <v>19</v>
      </c>
      <c r="N203" s="181" t="s">
        <v>47</v>
      </c>
      <c r="P203" s="137">
        <f>O203*H203</f>
        <v>0</v>
      </c>
      <c r="Q203" s="137">
        <v>0.053</v>
      </c>
      <c r="R203" s="137">
        <f>Q203*H203</f>
        <v>0.159</v>
      </c>
      <c r="S203" s="137">
        <v>0</v>
      </c>
      <c r="T203" s="138">
        <f>S203*H203</f>
        <v>0</v>
      </c>
      <c r="AR203" s="139" t="s">
        <v>189</v>
      </c>
      <c r="AT203" s="139" t="s">
        <v>410</v>
      </c>
      <c r="AU203" s="139" t="s">
        <v>86</v>
      </c>
      <c r="AY203" s="18" t="s">
        <v>144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84</v>
      </c>
      <c r="BK203" s="140">
        <f>ROUND(I203*H203,2)</f>
        <v>0</v>
      </c>
      <c r="BL203" s="18" t="s">
        <v>166</v>
      </c>
      <c r="BM203" s="139" t="s">
        <v>1428</v>
      </c>
    </row>
    <row r="204" spans="2:65" s="1" customFormat="1" ht="31.95" customHeight="1">
      <c r="B204" s="33"/>
      <c r="C204" s="128" t="s">
        <v>438</v>
      </c>
      <c r="D204" s="128" t="s">
        <v>147</v>
      </c>
      <c r="E204" s="129" t="s">
        <v>465</v>
      </c>
      <c r="F204" s="130" t="s">
        <v>466</v>
      </c>
      <c r="G204" s="131" t="s">
        <v>467</v>
      </c>
      <c r="H204" s="132">
        <v>1</v>
      </c>
      <c r="I204" s="133"/>
      <c r="J204" s="134">
        <f>ROUND(I204*H204,2)</f>
        <v>0</v>
      </c>
      <c r="K204" s="130" t="s">
        <v>151</v>
      </c>
      <c r="L204" s="33"/>
      <c r="M204" s="135" t="s">
        <v>19</v>
      </c>
      <c r="N204" s="136" t="s">
        <v>47</v>
      </c>
      <c r="P204" s="137">
        <f>O204*H204</f>
        <v>0</v>
      </c>
      <c r="Q204" s="137">
        <v>0.223938</v>
      </c>
      <c r="R204" s="137">
        <f>Q204*H204</f>
        <v>0.223938</v>
      </c>
      <c r="S204" s="137">
        <v>0</v>
      </c>
      <c r="T204" s="138">
        <f>S204*H204</f>
        <v>0</v>
      </c>
      <c r="AR204" s="139" t="s">
        <v>166</v>
      </c>
      <c r="AT204" s="139" t="s">
        <v>147</v>
      </c>
      <c r="AU204" s="139" t="s">
        <v>86</v>
      </c>
      <c r="AY204" s="18" t="s">
        <v>144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8" t="s">
        <v>84</v>
      </c>
      <c r="BK204" s="140">
        <f>ROUND(I204*H204,2)</f>
        <v>0</v>
      </c>
      <c r="BL204" s="18" t="s">
        <v>166</v>
      </c>
      <c r="BM204" s="139" t="s">
        <v>1429</v>
      </c>
    </row>
    <row r="205" spans="2:47" s="1" customFormat="1" ht="12">
      <c r="B205" s="33"/>
      <c r="D205" s="141" t="s">
        <v>154</v>
      </c>
      <c r="F205" s="142" t="s">
        <v>469</v>
      </c>
      <c r="I205" s="143"/>
      <c r="L205" s="33"/>
      <c r="M205" s="144"/>
      <c r="T205" s="54"/>
      <c r="AT205" s="18" t="s">
        <v>154</v>
      </c>
      <c r="AU205" s="18" t="s">
        <v>86</v>
      </c>
    </row>
    <row r="206" spans="2:65" s="1" customFormat="1" ht="23.7" customHeight="1">
      <c r="B206" s="33"/>
      <c r="C206" s="172" t="s">
        <v>447</v>
      </c>
      <c r="D206" s="172" t="s">
        <v>410</v>
      </c>
      <c r="E206" s="173" t="s">
        <v>471</v>
      </c>
      <c r="F206" s="174" t="s">
        <v>472</v>
      </c>
      <c r="G206" s="175" t="s">
        <v>467</v>
      </c>
      <c r="H206" s="176">
        <v>1</v>
      </c>
      <c r="I206" s="177"/>
      <c r="J206" s="178">
        <f>ROUND(I206*H206,2)</f>
        <v>0</v>
      </c>
      <c r="K206" s="174" t="s">
        <v>151</v>
      </c>
      <c r="L206" s="179"/>
      <c r="M206" s="180" t="s">
        <v>19</v>
      </c>
      <c r="N206" s="181" t="s">
        <v>47</v>
      </c>
      <c r="P206" s="137">
        <f>O206*H206</f>
        <v>0</v>
      </c>
      <c r="Q206" s="137">
        <v>0.081</v>
      </c>
      <c r="R206" s="137">
        <f>Q206*H206</f>
        <v>0.081</v>
      </c>
      <c r="S206" s="137">
        <v>0</v>
      </c>
      <c r="T206" s="138">
        <f>S206*H206</f>
        <v>0</v>
      </c>
      <c r="AR206" s="139" t="s">
        <v>189</v>
      </c>
      <c r="AT206" s="139" t="s">
        <v>410</v>
      </c>
      <c r="AU206" s="139" t="s">
        <v>86</v>
      </c>
      <c r="AY206" s="18" t="s">
        <v>144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8" t="s">
        <v>84</v>
      </c>
      <c r="BK206" s="140">
        <f>ROUND(I206*H206,2)</f>
        <v>0</v>
      </c>
      <c r="BL206" s="18" t="s">
        <v>166</v>
      </c>
      <c r="BM206" s="139" t="s">
        <v>1430</v>
      </c>
    </row>
    <row r="207" spans="2:65" s="1" customFormat="1" ht="36.6" customHeight="1">
      <c r="B207" s="33"/>
      <c r="C207" s="128" t="s">
        <v>451</v>
      </c>
      <c r="D207" s="128" t="s">
        <v>147</v>
      </c>
      <c r="E207" s="129" t="s">
        <v>1431</v>
      </c>
      <c r="F207" s="130" t="s">
        <v>1432</v>
      </c>
      <c r="G207" s="131" t="s">
        <v>324</v>
      </c>
      <c r="H207" s="132">
        <v>10.557</v>
      </c>
      <c r="I207" s="133"/>
      <c r="J207" s="134">
        <f>ROUND(I207*H207,2)</f>
        <v>0</v>
      </c>
      <c r="K207" s="130" t="s">
        <v>151</v>
      </c>
      <c r="L207" s="33"/>
      <c r="M207" s="135" t="s">
        <v>19</v>
      </c>
      <c r="N207" s="136" t="s">
        <v>47</v>
      </c>
      <c r="P207" s="137">
        <f>O207*H207</f>
        <v>0</v>
      </c>
      <c r="Q207" s="137">
        <v>2.30102</v>
      </c>
      <c r="R207" s="137">
        <f>Q207*H207</f>
        <v>24.29186814</v>
      </c>
      <c r="S207" s="137">
        <v>0</v>
      </c>
      <c r="T207" s="138">
        <f>S207*H207</f>
        <v>0</v>
      </c>
      <c r="AR207" s="139" t="s">
        <v>166</v>
      </c>
      <c r="AT207" s="139" t="s">
        <v>147</v>
      </c>
      <c r="AU207" s="139" t="s">
        <v>86</v>
      </c>
      <c r="AY207" s="18" t="s">
        <v>144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8" t="s">
        <v>84</v>
      </c>
      <c r="BK207" s="140">
        <f>ROUND(I207*H207,2)</f>
        <v>0</v>
      </c>
      <c r="BL207" s="18" t="s">
        <v>166</v>
      </c>
      <c r="BM207" s="139" t="s">
        <v>1433</v>
      </c>
    </row>
    <row r="208" spans="2:47" s="1" customFormat="1" ht="12">
      <c r="B208" s="33"/>
      <c r="D208" s="141" t="s">
        <v>154</v>
      </c>
      <c r="F208" s="142" t="s">
        <v>1434</v>
      </c>
      <c r="I208" s="143"/>
      <c r="L208" s="33"/>
      <c r="M208" s="144"/>
      <c r="T208" s="54"/>
      <c r="AT208" s="18" t="s">
        <v>154</v>
      </c>
      <c r="AU208" s="18" t="s">
        <v>86</v>
      </c>
    </row>
    <row r="209" spans="2:51" s="12" customFormat="1" ht="12">
      <c r="B209" s="152"/>
      <c r="D209" s="145" t="s">
        <v>249</v>
      </c>
      <c r="E209" s="153" t="s">
        <v>19</v>
      </c>
      <c r="F209" s="154" t="s">
        <v>1435</v>
      </c>
      <c r="H209" s="155">
        <v>8.832</v>
      </c>
      <c r="I209" s="156"/>
      <c r="L209" s="152"/>
      <c r="M209" s="157"/>
      <c r="T209" s="158"/>
      <c r="AT209" s="153" t="s">
        <v>249</v>
      </c>
      <c r="AU209" s="153" t="s">
        <v>86</v>
      </c>
      <c r="AV209" s="12" t="s">
        <v>86</v>
      </c>
      <c r="AW209" s="12" t="s">
        <v>37</v>
      </c>
      <c r="AX209" s="12" t="s">
        <v>76</v>
      </c>
      <c r="AY209" s="153" t="s">
        <v>144</v>
      </c>
    </row>
    <row r="210" spans="2:51" s="12" customFormat="1" ht="12">
      <c r="B210" s="152"/>
      <c r="D210" s="145" t="s">
        <v>249</v>
      </c>
      <c r="E210" s="153" t="s">
        <v>19</v>
      </c>
      <c r="F210" s="154" t="s">
        <v>1436</v>
      </c>
      <c r="H210" s="155">
        <v>1.35</v>
      </c>
      <c r="I210" s="156"/>
      <c r="L210" s="152"/>
      <c r="M210" s="157"/>
      <c r="T210" s="158"/>
      <c r="AT210" s="153" t="s">
        <v>249</v>
      </c>
      <c r="AU210" s="153" t="s">
        <v>86</v>
      </c>
      <c r="AV210" s="12" t="s">
        <v>86</v>
      </c>
      <c r="AW210" s="12" t="s">
        <v>37</v>
      </c>
      <c r="AX210" s="12" t="s">
        <v>76</v>
      </c>
      <c r="AY210" s="153" t="s">
        <v>144</v>
      </c>
    </row>
    <row r="211" spans="2:51" s="12" customFormat="1" ht="12">
      <c r="B211" s="152"/>
      <c r="D211" s="145" t="s">
        <v>249</v>
      </c>
      <c r="E211" s="153" t="s">
        <v>19</v>
      </c>
      <c r="F211" s="154" t="s">
        <v>1410</v>
      </c>
      <c r="H211" s="155">
        <v>0.375</v>
      </c>
      <c r="I211" s="156"/>
      <c r="L211" s="152"/>
      <c r="M211" s="157"/>
      <c r="T211" s="158"/>
      <c r="AT211" s="153" t="s">
        <v>249</v>
      </c>
      <c r="AU211" s="153" t="s">
        <v>86</v>
      </c>
      <c r="AV211" s="12" t="s">
        <v>86</v>
      </c>
      <c r="AW211" s="12" t="s">
        <v>37</v>
      </c>
      <c r="AX211" s="12" t="s">
        <v>76</v>
      </c>
      <c r="AY211" s="153" t="s">
        <v>144</v>
      </c>
    </row>
    <row r="212" spans="2:51" s="13" customFormat="1" ht="12">
      <c r="B212" s="159"/>
      <c r="D212" s="145" t="s">
        <v>249</v>
      </c>
      <c r="E212" s="160" t="s">
        <v>1265</v>
      </c>
      <c r="F212" s="161" t="s">
        <v>251</v>
      </c>
      <c r="H212" s="162">
        <v>10.557</v>
      </c>
      <c r="I212" s="163"/>
      <c r="L212" s="159"/>
      <c r="M212" s="164"/>
      <c r="T212" s="165"/>
      <c r="AT212" s="160" t="s">
        <v>249</v>
      </c>
      <c r="AU212" s="160" t="s">
        <v>86</v>
      </c>
      <c r="AV212" s="13" t="s">
        <v>166</v>
      </c>
      <c r="AW212" s="13" t="s">
        <v>37</v>
      </c>
      <c r="AX212" s="13" t="s">
        <v>84</v>
      </c>
      <c r="AY212" s="160" t="s">
        <v>144</v>
      </c>
    </row>
    <row r="213" spans="2:65" s="1" customFormat="1" ht="36.6" customHeight="1">
      <c r="B213" s="33"/>
      <c r="C213" s="128" t="s">
        <v>457</v>
      </c>
      <c r="D213" s="128" t="s">
        <v>147</v>
      </c>
      <c r="E213" s="129" t="s">
        <v>1437</v>
      </c>
      <c r="F213" s="130" t="s">
        <v>1438</v>
      </c>
      <c r="G213" s="131" t="s">
        <v>324</v>
      </c>
      <c r="H213" s="132">
        <v>0.432</v>
      </c>
      <c r="I213" s="133"/>
      <c r="J213" s="134">
        <f>ROUND(I213*H213,2)</f>
        <v>0</v>
      </c>
      <c r="K213" s="130" t="s">
        <v>151</v>
      </c>
      <c r="L213" s="33"/>
      <c r="M213" s="135" t="s">
        <v>19</v>
      </c>
      <c r="N213" s="136" t="s">
        <v>47</v>
      </c>
      <c r="P213" s="137">
        <f>O213*H213</f>
        <v>0</v>
      </c>
      <c r="Q213" s="137">
        <v>2.50187</v>
      </c>
      <c r="R213" s="137">
        <f>Q213*H213</f>
        <v>1.0808078399999999</v>
      </c>
      <c r="S213" s="137">
        <v>0</v>
      </c>
      <c r="T213" s="138">
        <f>S213*H213</f>
        <v>0</v>
      </c>
      <c r="AR213" s="139" t="s">
        <v>166</v>
      </c>
      <c r="AT213" s="139" t="s">
        <v>147</v>
      </c>
      <c r="AU213" s="139" t="s">
        <v>86</v>
      </c>
      <c r="AY213" s="18" t="s">
        <v>144</v>
      </c>
      <c r="BE213" s="140">
        <f>IF(N213="základní",J213,0)</f>
        <v>0</v>
      </c>
      <c r="BF213" s="140">
        <f>IF(N213="snížená",J213,0)</f>
        <v>0</v>
      </c>
      <c r="BG213" s="140">
        <f>IF(N213="zákl. přenesená",J213,0)</f>
        <v>0</v>
      </c>
      <c r="BH213" s="140">
        <f>IF(N213="sníž. přenesená",J213,0)</f>
        <v>0</v>
      </c>
      <c r="BI213" s="140">
        <f>IF(N213="nulová",J213,0)</f>
        <v>0</v>
      </c>
      <c r="BJ213" s="18" t="s">
        <v>84</v>
      </c>
      <c r="BK213" s="140">
        <f>ROUND(I213*H213,2)</f>
        <v>0</v>
      </c>
      <c r="BL213" s="18" t="s">
        <v>166</v>
      </c>
      <c r="BM213" s="139" t="s">
        <v>1439</v>
      </c>
    </row>
    <row r="214" spans="2:47" s="1" customFormat="1" ht="12">
      <c r="B214" s="33"/>
      <c r="D214" s="141" t="s">
        <v>154</v>
      </c>
      <c r="F214" s="142" t="s">
        <v>1440</v>
      </c>
      <c r="I214" s="143"/>
      <c r="L214" s="33"/>
      <c r="M214" s="144"/>
      <c r="T214" s="54"/>
      <c r="AT214" s="18" t="s">
        <v>154</v>
      </c>
      <c r="AU214" s="18" t="s">
        <v>86</v>
      </c>
    </row>
    <row r="215" spans="2:51" s="12" customFormat="1" ht="12">
      <c r="B215" s="152"/>
      <c r="D215" s="145" t="s">
        <v>249</v>
      </c>
      <c r="E215" s="153" t="s">
        <v>19</v>
      </c>
      <c r="F215" s="154" t="s">
        <v>1441</v>
      </c>
      <c r="H215" s="155">
        <v>0.432</v>
      </c>
      <c r="I215" s="156"/>
      <c r="L215" s="152"/>
      <c r="M215" s="157"/>
      <c r="T215" s="158"/>
      <c r="AT215" s="153" t="s">
        <v>249</v>
      </c>
      <c r="AU215" s="153" t="s">
        <v>86</v>
      </c>
      <c r="AV215" s="12" t="s">
        <v>86</v>
      </c>
      <c r="AW215" s="12" t="s">
        <v>37</v>
      </c>
      <c r="AX215" s="12" t="s">
        <v>84</v>
      </c>
      <c r="AY215" s="153" t="s">
        <v>144</v>
      </c>
    </row>
    <row r="216" spans="2:65" s="1" customFormat="1" ht="36.6" customHeight="1">
      <c r="B216" s="33"/>
      <c r="C216" s="128" t="s">
        <v>464</v>
      </c>
      <c r="D216" s="128" t="s">
        <v>147</v>
      </c>
      <c r="E216" s="129" t="s">
        <v>1442</v>
      </c>
      <c r="F216" s="130" t="s">
        <v>1443</v>
      </c>
      <c r="G216" s="131" t="s">
        <v>324</v>
      </c>
      <c r="H216" s="132">
        <v>10.58</v>
      </c>
      <c r="I216" s="133"/>
      <c r="J216" s="134">
        <f>ROUND(I216*H216,2)</f>
        <v>0</v>
      </c>
      <c r="K216" s="130" t="s">
        <v>151</v>
      </c>
      <c r="L216" s="33"/>
      <c r="M216" s="135" t="s">
        <v>19</v>
      </c>
      <c r="N216" s="136" t="s">
        <v>47</v>
      </c>
      <c r="P216" s="137">
        <f>O216*H216</f>
        <v>0</v>
      </c>
      <c r="Q216" s="137">
        <v>2.50187</v>
      </c>
      <c r="R216" s="137">
        <f>Q216*H216</f>
        <v>26.469784599999997</v>
      </c>
      <c r="S216" s="137">
        <v>0</v>
      </c>
      <c r="T216" s="138">
        <f>S216*H216</f>
        <v>0</v>
      </c>
      <c r="AR216" s="139" t="s">
        <v>166</v>
      </c>
      <c r="AT216" s="139" t="s">
        <v>147</v>
      </c>
      <c r="AU216" s="139" t="s">
        <v>86</v>
      </c>
      <c r="AY216" s="18" t="s">
        <v>144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8" t="s">
        <v>84</v>
      </c>
      <c r="BK216" s="140">
        <f>ROUND(I216*H216,2)</f>
        <v>0</v>
      </c>
      <c r="BL216" s="18" t="s">
        <v>166</v>
      </c>
      <c r="BM216" s="139" t="s">
        <v>1444</v>
      </c>
    </row>
    <row r="217" spans="2:47" s="1" customFormat="1" ht="12">
      <c r="B217" s="33"/>
      <c r="D217" s="141" t="s">
        <v>154</v>
      </c>
      <c r="F217" s="142" t="s">
        <v>1445</v>
      </c>
      <c r="I217" s="143"/>
      <c r="L217" s="33"/>
      <c r="M217" s="144"/>
      <c r="T217" s="54"/>
      <c r="AT217" s="18" t="s">
        <v>154</v>
      </c>
      <c r="AU217" s="18" t="s">
        <v>86</v>
      </c>
    </row>
    <row r="218" spans="2:51" s="12" customFormat="1" ht="12">
      <c r="B218" s="152"/>
      <c r="D218" s="145" t="s">
        <v>249</v>
      </c>
      <c r="E218" s="153" t="s">
        <v>19</v>
      </c>
      <c r="F218" s="154" t="s">
        <v>1446</v>
      </c>
      <c r="H218" s="155">
        <v>10.58</v>
      </c>
      <c r="I218" s="156"/>
      <c r="L218" s="152"/>
      <c r="M218" s="157"/>
      <c r="T218" s="158"/>
      <c r="AT218" s="153" t="s">
        <v>249</v>
      </c>
      <c r="AU218" s="153" t="s">
        <v>86</v>
      </c>
      <c r="AV218" s="12" t="s">
        <v>86</v>
      </c>
      <c r="AW218" s="12" t="s">
        <v>37</v>
      </c>
      <c r="AX218" s="12" t="s">
        <v>84</v>
      </c>
      <c r="AY218" s="153" t="s">
        <v>144</v>
      </c>
    </row>
    <row r="219" spans="2:65" s="1" customFormat="1" ht="36.6" customHeight="1">
      <c r="B219" s="33"/>
      <c r="C219" s="128" t="s">
        <v>470</v>
      </c>
      <c r="D219" s="128" t="s">
        <v>147</v>
      </c>
      <c r="E219" s="129" t="s">
        <v>1447</v>
      </c>
      <c r="F219" s="130" t="s">
        <v>1448</v>
      </c>
      <c r="G219" s="131" t="s">
        <v>246</v>
      </c>
      <c r="H219" s="132">
        <v>55.2</v>
      </c>
      <c r="I219" s="133"/>
      <c r="J219" s="134">
        <f>ROUND(I219*H219,2)</f>
        <v>0</v>
      </c>
      <c r="K219" s="130" t="s">
        <v>151</v>
      </c>
      <c r="L219" s="33"/>
      <c r="M219" s="135" t="s">
        <v>19</v>
      </c>
      <c r="N219" s="136" t="s">
        <v>47</v>
      </c>
      <c r="P219" s="137">
        <f>O219*H219</f>
        <v>0</v>
      </c>
      <c r="Q219" s="137">
        <v>0.00631714</v>
      </c>
      <c r="R219" s="137">
        <f>Q219*H219</f>
        <v>0.348706128</v>
      </c>
      <c r="S219" s="137">
        <v>0</v>
      </c>
      <c r="T219" s="138">
        <f>S219*H219</f>
        <v>0</v>
      </c>
      <c r="AR219" s="139" t="s">
        <v>166</v>
      </c>
      <c r="AT219" s="139" t="s">
        <v>147</v>
      </c>
      <c r="AU219" s="139" t="s">
        <v>86</v>
      </c>
      <c r="AY219" s="18" t="s">
        <v>144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84</v>
      </c>
      <c r="BK219" s="140">
        <f>ROUND(I219*H219,2)</f>
        <v>0</v>
      </c>
      <c r="BL219" s="18" t="s">
        <v>166</v>
      </c>
      <c r="BM219" s="139" t="s">
        <v>1449</v>
      </c>
    </row>
    <row r="220" spans="2:47" s="1" customFormat="1" ht="12">
      <c r="B220" s="33"/>
      <c r="D220" s="141" t="s">
        <v>154</v>
      </c>
      <c r="F220" s="142" t="s">
        <v>1450</v>
      </c>
      <c r="I220" s="143"/>
      <c r="L220" s="33"/>
      <c r="M220" s="144"/>
      <c r="T220" s="54"/>
      <c r="AT220" s="18" t="s">
        <v>154</v>
      </c>
      <c r="AU220" s="18" t="s">
        <v>86</v>
      </c>
    </row>
    <row r="221" spans="2:51" s="12" customFormat="1" ht="12">
      <c r="B221" s="152"/>
      <c r="D221" s="145" t="s">
        <v>249</v>
      </c>
      <c r="E221" s="153" t="s">
        <v>19</v>
      </c>
      <c r="F221" s="154" t="s">
        <v>1451</v>
      </c>
      <c r="H221" s="155">
        <v>55.2</v>
      </c>
      <c r="I221" s="156"/>
      <c r="L221" s="152"/>
      <c r="M221" s="157"/>
      <c r="T221" s="158"/>
      <c r="AT221" s="153" t="s">
        <v>249</v>
      </c>
      <c r="AU221" s="153" t="s">
        <v>86</v>
      </c>
      <c r="AV221" s="12" t="s">
        <v>86</v>
      </c>
      <c r="AW221" s="12" t="s">
        <v>37</v>
      </c>
      <c r="AX221" s="12" t="s">
        <v>84</v>
      </c>
      <c r="AY221" s="153" t="s">
        <v>144</v>
      </c>
    </row>
    <row r="222" spans="2:65" s="1" customFormat="1" ht="53.25" customHeight="1">
      <c r="B222" s="33"/>
      <c r="C222" s="128" t="s">
        <v>475</v>
      </c>
      <c r="D222" s="128" t="s">
        <v>147</v>
      </c>
      <c r="E222" s="129" t="s">
        <v>1452</v>
      </c>
      <c r="F222" s="130" t="s">
        <v>1453</v>
      </c>
      <c r="G222" s="131" t="s">
        <v>246</v>
      </c>
      <c r="H222" s="132">
        <v>2.88</v>
      </c>
      <c r="I222" s="133"/>
      <c r="J222" s="134">
        <f>ROUND(I222*H222,2)</f>
        <v>0</v>
      </c>
      <c r="K222" s="130" t="s">
        <v>151</v>
      </c>
      <c r="L222" s="33"/>
      <c r="M222" s="135" t="s">
        <v>19</v>
      </c>
      <c r="N222" s="136" t="s">
        <v>47</v>
      </c>
      <c r="P222" s="137">
        <f>O222*H222</f>
        <v>0</v>
      </c>
      <c r="Q222" s="137">
        <v>0.40242464</v>
      </c>
      <c r="R222" s="137">
        <f>Q222*H222</f>
        <v>1.1589829632</v>
      </c>
      <c r="S222" s="137">
        <v>0</v>
      </c>
      <c r="T222" s="138">
        <f>S222*H222</f>
        <v>0</v>
      </c>
      <c r="AR222" s="139" t="s">
        <v>166</v>
      </c>
      <c r="AT222" s="139" t="s">
        <v>147</v>
      </c>
      <c r="AU222" s="139" t="s">
        <v>86</v>
      </c>
      <c r="AY222" s="18" t="s">
        <v>144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8" t="s">
        <v>84</v>
      </c>
      <c r="BK222" s="140">
        <f>ROUND(I222*H222,2)</f>
        <v>0</v>
      </c>
      <c r="BL222" s="18" t="s">
        <v>166</v>
      </c>
      <c r="BM222" s="139" t="s">
        <v>1454</v>
      </c>
    </row>
    <row r="223" spans="2:47" s="1" customFormat="1" ht="12">
      <c r="B223" s="33"/>
      <c r="D223" s="141" t="s">
        <v>154</v>
      </c>
      <c r="F223" s="142" t="s">
        <v>1455</v>
      </c>
      <c r="I223" s="143"/>
      <c r="L223" s="33"/>
      <c r="M223" s="144"/>
      <c r="T223" s="54"/>
      <c r="AT223" s="18" t="s">
        <v>154</v>
      </c>
      <c r="AU223" s="18" t="s">
        <v>86</v>
      </c>
    </row>
    <row r="224" spans="2:51" s="12" customFormat="1" ht="12">
      <c r="B224" s="152"/>
      <c r="D224" s="145" t="s">
        <v>249</v>
      </c>
      <c r="E224" s="153" t="s">
        <v>19</v>
      </c>
      <c r="F224" s="154" t="s">
        <v>1456</v>
      </c>
      <c r="H224" s="155">
        <v>2.88</v>
      </c>
      <c r="I224" s="156"/>
      <c r="L224" s="152"/>
      <c r="M224" s="157"/>
      <c r="T224" s="158"/>
      <c r="AT224" s="153" t="s">
        <v>249</v>
      </c>
      <c r="AU224" s="153" t="s">
        <v>86</v>
      </c>
      <c r="AV224" s="12" t="s">
        <v>86</v>
      </c>
      <c r="AW224" s="12" t="s">
        <v>37</v>
      </c>
      <c r="AX224" s="12" t="s">
        <v>84</v>
      </c>
      <c r="AY224" s="153" t="s">
        <v>144</v>
      </c>
    </row>
    <row r="225" spans="2:63" s="11" customFormat="1" ht="22.8" customHeight="1">
      <c r="B225" s="116"/>
      <c r="D225" s="117" t="s">
        <v>75</v>
      </c>
      <c r="E225" s="126" t="s">
        <v>189</v>
      </c>
      <c r="F225" s="126" t="s">
        <v>602</v>
      </c>
      <c r="I225" s="119"/>
      <c r="J225" s="127">
        <f>BK225</f>
        <v>0</v>
      </c>
      <c r="L225" s="116"/>
      <c r="M225" s="121"/>
      <c r="P225" s="122">
        <f>SUM(P226:P336)</f>
        <v>0</v>
      </c>
      <c r="R225" s="122">
        <f>SUM(R226:R336)</f>
        <v>124.38252025490003</v>
      </c>
      <c r="T225" s="123">
        <f>SUM(T226:T336)</f>
        <v>0</v>
      </c>
      <c r="AR225" s="117" t="s">
        <v>84</v>
      </c>
      <c r="AT225" s="124" t="s">
        <v>75</v>
      </c>
      <c r="AU225" s="124" t="s">
        <v>84</v>
      </c>
      <c r="AY225" s="117" t="s">
        <v>144</v>
      </c>
      <c r="BK225" s="125">
        <f>SUM(BK226:BK336)</f>
        <v>0</v>
      </c>
    </row>
    <row r="226" spans="2:65" s="1" customFormat="1" ht="23.7" customHeight="1">
      <c r="B226" s="33"/>
      <c r="C226" s="128" t="s">
        <v>481</v>
      </c>
      <c r="D226" s="128" t="s">
        <v>147</v>
      </c>
      <c r="E226" s="129" t="s">
        <v>1457</v>
      </c>
      <c r="F226" s="130" t="s">
        <v>1458</v>
      </c>
      <c r="G226" s="131" t="s">
        <v>467</v>
      </c>
      <c r="H226" s="132">
        <v>6</v>
      </c>
      <c r="I226" s="133"/>
      <c r="J226" s="134">
        <f>ROUND(I226*H226,2)</f>
        <v>0</v>
      </c>
      <c r="K226" s="130" t="s">
        <v>151</v>
      </c>
      <c r="L226" s="33"/>
      <c r="M226" s="135" t="s">
        <v>19</v>
      </c>
      <c r="N226" s="136" t="s">
        <v>47</v>
      </c>
      <c r="P226" s="137">
        <f>O226*H226</f>
        <v>0</v>
      </c>
      <c r="Q226" s="137">
        <v>0.29558181</v>
      </c>
      <c r="R226" s="137">
        <f>Q226*H226</f>
        <v>1.77349086</v>
      </c>
      <c r="S226" s="137">
        <v>0</v>
      </c>
      <c r="T226" s="138">
        <f>S226*H226</f>
        <v>0</v>
      </c>
      <c r="AR226" s="139" t="s">
        <v>166</v>
      </c>
      <c r="AT226" s="139" t="s">
        <v>147</v>
      </c>
      <c r="AU226" s="139" t="s">
        <v>86</v>
      </c>
      <c r="AY226" s="18" t="s">
        <v>144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8" t="s">
        <v>84</v>
      </c>
      <c r="BK226" s="140">
        <f>ROUND(I226*H226,2)</f>
        <v>0</v>
      </c>
      <c r="BL226" s="18" t="s">
        <v>166</v>
      </c>
      <c r="BM226" s="139" t="s">
        <v>1459</v>
      </c>
    </row>
    <row r="227" spans="2:47" s="1" customFormat="1" ht="12">
      <c r="B227" s="33"/>
      <c r="D227" s="141" t="s">
        <v>154</v>
      </c>
      <c r="F227" s="142" t="s">
        <v>1460</v>
      </c>
      <c r="I227" s="143"/>
      <c r="L227" s="33"/>
      <c r="M227" s="144"/>
      <c r="T227" s="54"/>
      <c r="AT227" s="18" t="s">
        <v>154</v>
      </c>
      <c r="AU227" s="18" t="s">
        <v>86</v>
      </c>
    </row>
    <row r="228" spans="2:65" s="1" customFormat="1" ht="36.6" customHeight="1">
      <c r="B228" s="33"/>
      <c r="C228" s="128" t="s">
        <v>491</v>
      </c>
      <c r="D228" s="128" t="s">
        <v>147</v>
      </c>
      <c r="E228" s="129" t="s">
        <v>1461</v>
      </c>
      <c r="F228" s="130" t="s">
        <v>1462</v>
      </c>
      <c r="G228" s="131" t="s">
        <v>308</v>
      </c>
      <c r="H228" s="132">
        <v>92</v>
      </c>
      <c r="I228" s="133"/>
      <c r="J228" s="134">
        <f>ROUND(I228*H228,2)</f>
        <v>0</v>
      </c>
      <c r="K228" s="130" t="s">
        <v>151</v>
      </c>
      <c r="L228" s="33"/>
      <c r="M228" s="135" t="s">
        <v>19</v>
      </c>
      <c r="N228" s="136" t="s">
        <v>47</v>
      </c>
      <c r="P228" s="137">
        <f>O228*H228</f>
        <v>0</v>
      </c>
      <c r="Q228" s="137">
        <v>0.000166</v>
      </c>
      <c r="R228" s="137">
        <f>Q228*H228</f>
        <v>0.015271999999999999</v>
      </c>
      <c r="S228" s="137">
        <v>0</v>
      </c>
      <c r="T228" s="138">
        <f>S228*H228</f>
        <v>0</v>
      </c>
      <c r="AR228" s="139" t="s">
        <v>166</v>
      </c>
      <c r="AT228" s="139" t="s">
        <v>147</v>
      </c>
      <c r="AU228" s="139" t="s">
        <v>86</v>
      </c>
      <c r="AY228" s="18" t="s">
        <v>144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8" t="s">
        <v>84</v>
      </c>
      <c r="BK228" s="140">
        <f>ROUND(I228*H228,2)</f>
        <v>0</v>
      </c>
      <c r="BL228" s="18" t="s">
        <v>166</v>
      </c>
      <c r="BM228" s="139" t="s">
        <v>1463</v>
      </c>
    </row>
    <row r="229" spans="2:47" s="1" customFormat="1" ht="12">
      <c r="B229" s="33"/>
      <c r="D229" s="141" t="s">
        <v>154</v>
      </c>
      <c r="F229" s="142" t="s">
        <v>1464</v>
      </c>
      <c r="I229" s="143"/>
      <c r="L229" s="33"/>
      <c r="M229" s="144"/>
      <c r="T229" s="54"/>
      <c r="AT229" s="18" t="s">
        <v>154</v>
      </c>
      <c r="AU229" s="18" t="s">
        <v>86</v>
      </c>
    </row>
    <row r="230" spans="2:51" s="12" customFormat="1" ht="12">
      <c r="B230" s="152"/>
      <c r="D230" s="145" t="s">
        <v>249</v>
      </c>
      <c r="E230" s="153" t="s">
        <v>1281</v>
      </c>
      <c r="F230" s="154" t="s">
        <v>780</v>
      </c>
      <c r="H230" s="155">
        <v>92</v>
      </c>
      <c r="I230" s="156"/>
      <c r="L230" s="152"/>
      <c r="M230" s="157"/>
      <c r="T230" s="158"/>
      <c r="AT230" s="153" t="s">
        <v>249</v>
      </c>
      <c r="AU230" s="153" t="s">
        <v>86</v>
      </c>
      <c r="AV230" s="12" t="s">
        <v>86</v>
      </c>
      <c r="AW230" s="12" t="s">
        <v>37</v>
      </c>
      <c r="AX230" s="12" t="s">
        <v>84</v>
      </c>
      <c r="AY230" s="153" t="s">
        <v>144</v>
      </c>
    </row>
    <row r="231" spans="2:65" s="1" customFormat="1" ht="15" customHeight="1">
      <c r="B231" s="33"/>
      <c r="C231" s="172" t="s">
        <v>496</v>
      </c>
      <c r="D231" s="172" t="s">
        <v>410</v>
      </c>
      <c r="E231" s="173" t="s">
        <v>1465</v>
      </c>
      <c r="F231" s="174" t="s">
        <v>1466</v>
      </c>
      <c r="G231" s="175" t="s">
        <v>308</v>
      </c>
      <c r="H231" s="176">
        <v>92.92</v>
      </c>
      <c r="I231" s="177"/>
      <c r="J231" s="178">
        <f>ROUND(I231*H231,2)</f>
        <v>0</v>
      </c>
      <c r="K231" s="174" t="s">
        <v>151</v>
      </c>
      <c r="L231" s="179"/>
      <c r="M231" s="180" t="s">
        <v>19</v>
      </c>
      <c r="N231" s="181" t="s">
        <v>47</v>
      </c>
      <c r="P231" s="137">
        <f>O231*H231</f>
        <v>0</v>
      </c>
      <c r="Q231" s="137">
        <v>0.2144</v>
      </c>
      <c r="R231" s="137">
        <f>Q231*H231</f>
        <v>19.922048</v>
      </c>
      <c r="S231" s="137">
        <v>0</v>
      </c>
      <c r="T231" s="138">
        <f>S231*H231</f>
        <v>0</v>
      </c>
      <c r="AR231" s="139" t="s">
        <v>189</v>
      </c>
      <c r="AT231" s="139" t="s">
        <v>410</v>
      </c>
      <c r="AU231" s="139" t="s">
        <v>86</v>
      </c>
      <c r="AY231" s="18" t="s">
        <v>144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8" t="s">
        <v>84</v>
      </c>
      <c r="BK231" s="140">
        <f>ROUND(I231*H231,2)</f>
        <v>0</v>
      </c>
      <c r="BL231" s="18" t="s">
        <v>166</v>
      </c>
      <c r="BM231" s="139" t="s">
        <v>1467</v>
      </c>
    </row>
    <row r="232" spans="2:51" s="12" customFormat="1" ht="12">
      <c r="B232" s="152"/>
      <c r="D232" s="145" t="s">
        <v>249</v>
      </c>
      <c r="E232" s="153" t="s">
        <v>19</v>
      </c>
      <c r="F232" s="154" t="s">
        <v>1281</v>
      </c>
      <c r="H232" s="155">
        <v>92</v>
      </c>
      <c r="I232" s="156"/>
      <c r="L232" s="152"/>
      <c r="M232" s="157"/>
      <c r="T232" s="158"/>
      <c r="AT232" s="153" t="s">
        <v>249</v>
      </c>
      <c r="AU232" s="153" t="s">
        <v>86</v>
      </c>
      <c r="AV232" s="12" t="s">
        <v>86</v>
      </c>
      <c r="AW232" s="12" t="s">
        <v>37</v>
      </c>
      <c r="AX232" s="12" t="s">
        <v>76</v>
      </c>
      <c r="AY232" s="153" t="s">
        <v>144</v>
      </c>
    </row>
    <row r="233" spans="2:51" s="12" customFormat="1" ht="12">
      <c r="B233" s="152"/>
      <c r="D233" s="145" t="s">
        <v>249</v>
      </c>
      <c r="E233" s="153" t="s">
        <v>19</v>
      </c>
      <c r="F233" s="154" t="s">
        <v>1468</v>
      </c>
      <c r="H233" s="155">
        <v>92.92</v>
      </c>
      <c r="I233" s="156"/>
      <c r="L233" s="152"/>
      <c r="M233" s="157"/>
      <c r="T233" s="158"/>
      <c r="AT233" s="153" t="s">
        <v>249</v>
      </c>
      <c r="AU233" s="153" t="s">
        <v>86</v>
      </c>
      <c r="AV233" s="12" t="s">
        <v>86</v>
      </c>
      <c r="AW233" s="12" t="s">
        <v>37</v>
      </c>
      <c r="AX233" s="12" t="s">
        <v>84</v>
      </c>
      <c r="AY233" s="153" t="s">
        <v>144</v>
      </c>
    </row>
    <row r="234" spans="2:65" s="1" customFormat="1" ht="36.6" customHeight="1">
      <c r="B234" s="33"/>
      <c r="C234" s="128" t="s">
        <v>504</v>
      </c>
      <c r="D234" s="128" t="s">
        <v>147</v>
      </c>
      <c r="E234" s="129" t="s">
        <v>1469</v>
      </c>
      <c r="F234" s="130" t="s">
        <v>1470</v>
      </c>
      <c r="G234" s="131" t="s">
        <v>308</v>
      </c>
      <c r="H234" s="132">
        <v>44</v>
      </c>
      <c r="I234" s="133"/>
      <c r="J234" s="134">
        <f>ROUND(I234*H234,2)</f>
        <v>0</v>
      </c>
      <c r="K234" s="130" t="s">
        <v>151</v>
      </c>
      <c r="L234" s="33"/>
      <c r="M234" s="135" t="s">
        <v>19</v>
      </c>
      <c r="N234" s="136" t="s">
        <v>47</v>
      </c>
      <c r="P234" s="137">
        <f>O234*H234</f>
        <v>0</v>
      </c>
      <c r="Q234" s="137">
        <v>3.2E-05</v>
      </c>
      <c r="R234" s="137">
        <f>Q234*H234</f>
        <v>0.001408</v>
      </c>
      <c r="S234" s="137">
        <v>0</v>
      </c>
      <c r="T234" s="138">
        <f>S234*H234</f>
        <v>0</v>
      </c>
      <c r="AR234" s="139" t="s">
        <v>166</v>
      </c>
      <c r="AT234" s="139" t="s">
        <v>147</v>
      </c>
      <c r="AU234" s="139" t="s">
        <v>86</v>
      </c>
      <c r="AY234" s="18" t="s">
        <v>144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8" t="s">
        <v>84</v>
      </c>
      <c r="BK234" s="140">
        <f>ROUND(I234*H234,2)</f>
        <v>0</v>
      </c>
      <c r="BL234" s="18" t="s">
        <v>166</v>
      </c>
      <c r="BM234" s="139" t="s">
        <v>1471</v>
      </c>
    </row>
    <row r="235" spans="2:47" s="1" customFormat="1" ht="12">
      <c r="B235" s="33"/>
      <c r="D235" s="141" t="s">
        <v>154</v>
      </c>
      <c r="F235" s="142" t="s">
        <v>1472</v>
      </c>
      <c r="I235" s="143"/>
      <c r="L235" s="33"/>
      <c r="M235" s="144"/>
      <c r="T235" s="54"/>
      <c r="AT235" s="18" t="s">
        <v>154</v>
      </c>
      <c r="AU235" s="18" t="s">
        <v>86</v>
      </c>
    </row>
    <row r="236" spans="2:51" s="12" customFormat="1" ht="12">
      <c r="B236" s="152"/>
      <c r="D236" s="145" t="s">
        <v>249</v>
      </c>
      <c r="E236" s="153" t="s">
        <v>19</v>
      </c>
      <c r="F236" s="154" t="s">
        <v>1473</v>
      </c>
      <c r="H236" s="155">
        <v>39.9</v>
      </c>
      <c r="I236" s="156"/>
      <c r="L236" s="152"/>
      <c r="M236" s="157"/>
      <c r="T236" s="158"/>
      <c r="AT236" s="153" t="s">
        <v>249</v>
      </c>
      <c r="AU236" s="153" t="s">
        <v>86</v>
      </c>
      <c r="AV236" s="12" t="s">
        <v>86</v>
      </c>
      <c r="AW236" s="12" t="s">
        <v>37</v>
      </c>
      <c r="AX236" s="12" t="s">
        <v>76</v>
      </c>
      <c r="AY236" s="153" t="s">
        <v>144</v>
      </c>
    </row>
    <row r="237" spans="2:51" s="12" customFormat="1" ht="12">
      <c r="B237" s="152"/>
      <c r="D237" s="145" t="s">
        <v>249</v>
      </c>
      <c r="E237" s="153" t="s">
        <v>19</v>
      </c>
      <c r="F237" s="154" t="s">
        <v>1474</v>
      </c>
      <c r="H237" s="155">
        <v>4.1</v>
      </c>
      <c r="I237" s="156"/>
      <c r="L237" s="152"/>
      <c r="M237" s="157"/>
      <c r="T237" s="158"/>
      <c r="AT237" s="153" t="s">
        <v>249</v>
      </c>
      <c r="AU237" s="153" t="s">
        <v>86</v>
      </c>
      <c r="AV237" s="12" t="s">
        <v>86</v>
      </c>
      <c r="AW237" s="12" t="s">
        <v>37</v>
      </c>
      <c r="AX237" s="12" t="s">
        <v>76</v>
      </c>
      <c r="AY237" s="153" t="s">
        <v>144</v>
      </c>
    </row>
    <row r="238" spans="2:51" s="13" customFormat="1" ht="12">
      <c r="B238" s="159"/>
      <c r="D238" s="145" t="s">
        <v>249</v>
      </c>
      <c r="E238" s="160" t="s">
        <v>1283</v>
      </c>
      <c r="F238" s="161" t="s">
        <v>251</v>
      </c>
      <c r="H238" s="162">
        <v>44</v>
      </c>
      <c r="I238" s="163"/>
      <c r="L238" s="159"/>
      <c r="M238" s="164"/>
      <c r="T238" s="165"/>
      <c r="AT238" s="160" t="s">
        <v>249</v>
      </c>
      <c r="AU238" s="160" t="s">
        <v>86</v>
      </c>
      <c r="AV238" s="13" t="s">
        <v>166</v>
      </c>
      <c r="AW238" s="13" t="s">
        <v>37</v>
      </c>
      <c r="AX238" s="13" t="s">
        <v>84</v>
      </c>
      <c r="AY238" s="160" t="s">
        <v>144</v>
      </c>
    </row>
    <row r="239" spans="2:65" s="1" customFormat="1" ht="23.7" customHeight="1">
      <c r="B239" s="33"/>
      <c r="C239" s="172" t="s">
        <v>511</v>
      </c>
      <c r="D239" s="172" t="s">
        <v>410</v>
      </c>
      <c r="E239" s="173" t="s">
        <v>1475</v>
      </c>
      <c r="F239" s="174" t="s">
        <v>1476</v>
      </c>
      <c r="G239" s="175" t="s">
        <v>308</v>
      </c>
      <c r="H239" s="176">
        <v>44.66</v>
      </c>
      <c r="I239" s="177"/>
      <c r="J239" s="178">
        <f>ROUND(I239*H239,2)</f>
        <v>0</v>
      </c>
      <c r="K239" s="174" t="s">
        <v>151</v>
      </c>
      <c r="L239" s="179"/>
      <c r="M239" s="180" t="s">
        <v>19</v>
      </c>
      <c r="N239" s="181" t="s">
        <v>47</v>
      </c>
      <c r="P239" s="137">
        <f>O239*H239</f>
        <v>0</v>
      </c>
      <c r="Q239" s="137">
        <v>0.024</v>
      </c>
      <c r="R239" s="137">
        <f>Q239*H239</f>
        <v>1.07184</v>
      </c>
      <c r="S239" s="137">
        <v>0</v>
      </c>
      <c r="T239" s="138">
        <f>S239*H239</f>
        <v>0</v>
      </c>
      <c r="AR239" s="139" t="s">
        <v>189</v>
      </c>
      <c r="AT239" s="139" t="s">
        <v>410</v>
      </c>
      <c r="AU239" s="139" t="s">
        <v>86</v>
      </c>
      <c r="AY239" s="18" t="s">
        <v>144</v>
      </c>
      <c r="BE239" s="140">
        <f>IF(N239="základní",J239,0)</f>
        <v>0</v>
      </c>
      <c r="BF239" s="140">
        <f>IF(N239="snížená",J239,0)</f>
        <v>0</v>
      </c>
      <c r="BG239" s="140">
        <f>IF(N239="zákl. přenesená",J239,0)</f>
        <v>0</v>
      </c>
      <c r="BH239" s="140">
        <f>IF(N239="sníž. přenesená",J239,0)</f>
        <v>0</v>
      </c>
      <c r="BI239" s="140">
        <f>IF(N239="nulová",J239,0)</f>
        <v>0</v>
      </c>
      <c r="BJ239" s="18" t="s">
        <v>84</v>
      </c>
      <c r="BK239" s="140">
        <f>ROUND(I239*H239,2)</f>
        <v>0</v>
      </c>
      <c r="BL239" s="18" t="s">
        <v>166</v>
      </c>
      <c r="BM239" s="139" t="s">
        <v>1477</v>
      </c>
    </row>
    <row r="240" spans="2:51" s="12" customFormat="1" ht="12">
      <c r="B240" s="152"/>
      <c r="D240" s="145" t="s">
        <v>249</v>
      </c>
      <c r="E240" s="153" t="s">
        <v>19</v>
      </c>
      <c r="F240" s="154" t="s">
        <v>1283</v>
      </c>
      <c r="H240" s="155">
        <v>44</v>
      </c>
      <c r="I240" s="156"/>
      <c r="L240" s="152"/>
      <c r="M240" s="157"/>
      <c r="T240" s="158"/>
      <c r="AT240" s="153" t="s">
        <v>249</v>
      </c>
      <c r="AU240" s="153" t="s">
        <v>86</v>
      </c>
      <c r="AV240" s="12" t="s">
        <v>86</v>
      </c>
      <c r="AW240" s="12" t="s">
        <v>37</v>
      </c>
      <c r="AX240" s="12" t="s">
        <v>76</v>
      </c>
      <c r="AY240" s="153" t="s">
        <v>144</v>
      </c>
    </row>
    <row r="241" spans="2:51" s="12" customFormat="1" ht="12">
      <c r="B241" s="152"/>
      <c r="D241" s="145" t="s">
        <v>249</v>
      </c>
      <c r="E241" s="153" t="s">
        <v>19</v>
      </c>
      <c r="F241" s="154" t="s">
        <v>1478</v>
      </c>
      <c r="H241" s="155">
        <v>44.66</v>
      </c>
      <c r="I241" s="156"/>
      <c r="L241" s="152"/>
      <c r="M241" s="157"/>
      <c r="T241" s="158"/>
      <c r="AT241" s="153" t="s">
        <v>249</v>
      </c>
      <c r="AU241" s="153" t="s">
        <v>86</v>
      </c>
      <c r="AV241" s="12" t="s">
        <v>86</v>
      </c>
      <c r="AW241" s="12" t="s">
        <v>37</v>
      </c>
      <c r="AX241" s="12" t="s">
        <v>84</v>
      </c>
      <c r="AY241" s="153" t="s">
        <v>144</v>
      </c>
    </row>
    <row r="242" spans="2:65" s="1" customFormat="1" ht="36.6" customHeight="1">
      <c r="B242" s="33"/>
      <c r="C242" s="128" t="s">
        <v>517</v>
      </c>
      <c r="D242" s="128" t="s">
        <v>147</v>
      </c>
      <c r="E242" s="129" t="s">
        <v>1479</v>
      </c>
      <c r="F242" s="130" t="s">
        <v>1480</v>
      </c>
      <c r="G242" s="131" t="s">
        <v>308</v>
      </c>
      <c r="H242" s="132">
        <v>27.5</v>
      </c>
      <c r="I242" s="133"/>
      <c r="J242" s="134">
        <f>ROUND(I242*H242,2)</f>
        <v>0</v>
      </c>
      <c r="K242" s="130" t="s">
        <v>151</v>
      </c>
      <c r="L242" s="33"/>
      <c r="M242" s="135" t="s">
        <v>19</v>
      </c>
      <c r="N242" s="136" t="s">
        <v>47</v>
      </c>
      <c r="P242" s="137">
        <f>O242*H242</f>
        <v>0</v>
      </c>
      <c r="Q242" s="137">
        <v>3.8E-05</v>
      </c>
      <c r="R242" s="137">
        <f>Q242*H242</f>
        <v>0.0010450000000000001</v>
      </c>
      <c r="S242" s="137">
        <v>0</v>
      </c>
      <c r="T242" s="138">
        <f>S242*H242</f>
        <v>0</v>
      </c>
      <c r="AR242" s="139" t="s">
        <v>166</v>
      </c>
      <c r="AT242" s="139" t="s">
        <v>147</v>
      </c>
      <c r="AU242" s="139" t="s">
        <v>86</v>
      </c>
      <c r="AY242" s="18" t="s">
        <v>144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8" t="s">
        <v>84</v>
      </c>
      <c r="BK242" s="140">
        <f>ROUND(I242*H242,2)</f>
        <v>0</v>
      </c>
      <c r="BL242" s="18" t="s">
        <v>166</v>
      </c>
      <c r="BM242" s="139" t="s">
        <v>1481</v>
      </c>
    </row>
    <row r="243" spans="2:47" s="1" customFormat="1" ht="12">
      <c r="B243" s="33"/>
      <c r="D243" s="141" t="s">
        <v>154</v>
      </c>
      <c r="F243" s="142" t="s">
        <v>1482</v>
      </c>
      <c r="I243" s="143"/>
      <c r="L243" s="33"/>
      <c r="M243" s="144"/>
      <c r="T243" s="54"/>
      <c r="AT243" s="18" t="s">
        <v>154</v>
      </c>
      <c r="AU243" s="18" t="s">
        <v>86</v>
      </c>
    </row>
    <row r="244" spans="2:51" s="12" customFormat="1" ht="12">
      <c r="B244" s="152"/>
      <c r="D244" s="145" t="s">
        <v>249</v>
      </c>
      <c r="E244" s="153" t="s">
        <v>1285</v>
      </c>
      <c r="F244" s="154" t="s">
        <v>1483</v>
      </c>
      <c r="H244" s="155">
        <v>27.5</v>
      </c>
      <c r="I244" s="156"/>
      <c r="L244" s="152"/>
      <c r="M244" s="157"/>
      <c r="T244" s="158"/>
      <c r="AT244" s="153" t="s">
        <v>249</v>
      </c>
      <c r="AU244" s="153" t="s">
        <v>86</v>
      </c>
      <c r="AV244" s="12" t="s">
        <v>86</v>
      </c>
      <c r="AW244" s="12" t="s">
        <v>37</v>
      </c>
      <c r="AX244" s="12" t="s">
        <v>84</v>
      </c>
      <c r="AY244" s="153" t="s">
        <v>144</v>
      </c>
    </row>
    <row r="245" spans="2:65" s="1" customFormat="1" ht="23.7" customHeight="1">
      <c r="B245" s="33"/>
      <c r="C245" s="172" t="s">
        <v>523</v>
      </c>
      <c r="D245" s="172" t="s">
        <v>410</v>
      </c>
      <c r="E245" s="173" t="s">
        <v>1484</v>
      </c>
      <c r="F245" s="174" t="s">
        <v>1485</v>
      </c>
      <c r="G245" s="175" t="s">
        <v>308</v>
      </c>
      <c r="H245" s="176">
        <v>27.913</v>
      </c>
      <c r="I245" s="177"/>
      <c r="J245" s="178">
        <f>ROUND(I245*H245,2)</f>
        <v>0</v>
      </c>
      <c r="K245" s="174" t="s">
        <v>151</v>
      </c>
      <c r="L245" s="179"/>
      <c r="M245" s="180" t="s">
        <v>19</v>
      </c>
      <c r="N245" s="181" t="s">
        <v>47</v>
      </c>
      <c r="P245" s="137">
        <f>O245*H245</f>
        <v>0</v>
      </c>
      <c r="Q245" s="137">
        <v>0.043</v>
      </c>
      <c r="R245" s="137">
        <f>Q245*H245</f>
        <v>1.200259</v>
      </c>
      <c r="S245" s="137">
        <v>0</v>
      </c>
      <c r="T245" s="138">
        <f>S245*H245</f>
        <v>0</v>
      </c>
      <c r="AR245" s="139" t="s">
        <v>189</v>
      </c>
      <c r="AT245" s="139" t="s">
        <v>410</v>
      </c>
      <c r="AU245" s="139" t="s">
        <v>86</v>
      </c>
      <c r="AY245" s="18" t="s">
        <v>144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8" t="s">
        <v>84</v>
      </c>
      <c r="BK245" s="140">
        <f>ROUND(I245*H245,2)</f>
        <v>0</v>
      </c>
      <c r="BL245" s="18" t="s">
        <v>166</v>
      </c>
      <c r="BM245" s="139" t="s">
        <v>1486</v>
      </c>
    </row>
    <row r="246" spans="2:51" s="12" customFormat="1" ht="12">
      <c r="B246" s="152"/>
      <c r="D246" s="145" t="s">
        <v>249</v>
      </c>
      <c r="E246" s="153" t="s">
        <v>19</v>
      </c>
      <c r="F246" s="154" t="s">
        <v>1487</v>
      </c>
      <c r="H246" s="155">
        <v>27.913</v>
      </c>
      <c r="I246" s="156"/>
      <c r="L246" s="152"/>
      <c r="M246" s="157"/>
      <c r="T246" s="158"/>
      <c r="AT246" s="153" t="s">
        <v>249</v>
      </c>
      <c r="AU246" s="153" t="s">
        <v>86</v>
      </c>
      <c r="AV246" s="12" t="s">
        <v>86</v>
      </c>
      <c r="AW246" s="12" t="s">
        <v>37</v>
      </c>
      <c r="AX246" s="12" t="s">
        <v>84</v>
      </c>
      <c r="AY246" s="153" t="s">
        <v>144</v>
      </c>
    </row>
    <row r="247" spans="2:65" s="1" customFormat="1" ht="36.6" customHeight="1">
      <c r="B247" s="33"/>
      <c r="C247" s="128" t="s">
        <v>528</v>
      </c>
      <c r="D247" s="128" t="s">
        <v>147</v>
      </c>
      <c r="E247" s="129" t="s">
        <v>1488</v>
      </c>
      <c r="F247" s="130" t="s">
        <v>1489</v>
      </c>
      <c r="G247" s="131" t="s">
        <v>467</v>
      </c>
      <c r="H247" s="132">
        <v>18</v>
      </c>
      <c r="I247" s="133"/>
      <c r="J247" s="134">
        <f>ROUND(I247*H247,2)</f>
        <v>0</v>
      </c>
      <c r="K247" s="130" t="s">
        <v>151</v>
      </c>
      <c r="L247" s="33"/>
      <c r="M247" s="135" t="s">
        <v>19</v>
      </c>
      <c r="N247" s="136" t="s">
        <v>47</v>
      </c>
      <c r="P247" s="137">
        <f>O247*H247</f>
        <v>0</v>
      </c>
      <c r="Q247" s="137">
        <v>0.000129</v>
      </c>
      <c r="R247" s="137">
        <f>Q247*H247</f>
        <v>0.002322</v>
      </c>
      <c r="S247" s="137">
        <v>0</v>
      </c>
      <c r="T247" s="138">
        <f>S247*H247</f>
        <v>0</v>
      </c>
      <c r="AR247" s="139" t="s">
        <v>166</v>
      </c>
      <c r="AT247" s="139" t="s">
        <v>147</v>
      </c>
      <c r="AU247" s="139" t="s">
        <v>86</v>
      </c>
      <c r="AY247" s="18" t="s">
        <v>144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8" t="s">
        <v>84</v>
      </c>
      <c r="BK247" s="140">
        <f>ROUND(I247*H247,2)</f>
        <v>0</v>
      </c>
      <c r="BL247" s="18" t="s">
        <v>166</v>
      </c>
      <c r="BM247" s="139" t="s">
        <v>1490</v>
      </c>
    </row>
    <row r="248" spans="2:47" s="1" customFormat="1" ht="12">
      <c r="B248" s="33"/>
      <c r="D248" s="141" t="s">
        <v>154</v>
      </c>
      <c r="F248" s="142" t="s">
        <v>1491</v>
      </c>
      <c r="I248" s="143"/>
      <c r="L248" s="33"/>
      <c r="M248" s="144"/>
      <c r="T248" s="54"/>
      <c r="AT248" s="18" t="s">
        <v>154</v>
      </c>
      <c r="AU248" s="18" t="s">
        <v>86</v>
      </c>
    </row>
    <row r="249" spans="2:65" s="1" customFormat="1" ht="23.7" customHeight="1">
      <c r="B249" s="33"/>
      <c r="C249" s="172" t="s">
        <v>534</v>
      </c>
      <c r="D249" s="172" t="s">
        <v>410</v>
      </c>
      <c r="E249" s="173" t="s">
        <v>1492</v>
      </c>
      <c r="F249" s="174" t="s">
        <v>1493</v>
      </c>
      <c r="G249" s="175" t="s">
        <v>467</v>
      </c>
      <c r="H249" s="176">
        <v>6.09</v>
      </c>
      <c r="I249" s="177"/>
      <c r="J249" s="178">
        <f>ROUND(I249*H249,2)</f>
        <v>0</v>
      </c>
      <c r="K249" s="174" t="s">
        <v>151</v>
      </c>
      <c r="L249" s="179"/>
      <c r="M249" s="180" t="s">
        <v>19</v>
      </c>
      <c r="N249" s="181" t="s">
        <v>47</v>
      </c>
      <c r="P249" s="137">
        <f>O249*H249</f>
        <v>0</v>
      </c>
      <c r="Q249" s="137">
        <v>0.01</v>
      </c>
      <c r="R249" s="137">
        <f>Q249*H249</f>
        <v>0.0609</v>
      </c>
      <c r="S249" s="137">
        <v>0</v>
      </c>
      <c r="T249" s="138">
        <f>S249*H249</f>
        <v>0</v>
      </c>
      <c r="AR249" s="139" t="s">
        <v>189</v>
      </c>
      <c r="AT249" s="139" t="s">
        <v>410</v>
      </c>
      <c r="AU249" s="139" t="s">
        <v>86</v>
      </c>
      <c r="AY249" s="18" t="s">
        <v>144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8" t="s">
        <v>84</v>
      </c>
      <c r="BK249" s="140">
        <f>ROUND(I249*H249,2)</f>
        <v>0</v>
      </c>
      <c r="BL249" s="18" t="s">
        <v>166</v>
      </c>
      <c r="BM249" s="139" t="s">
        <v>1494</v>
      </c>
    </row>
    <row r="250" spans="2:51" s="12" customFormat="1" ht="12">
      <c r="B250" s="152"/>
      <c r="D250" s="145" t="s">
        <v>249</v>
      </c>
      <c r="E250" s="153" t="s">
        <v>19</v>
      </c>
      <c r="F250" s="154" t="s">
        <v>1495</v>
      </c>
      <c r="H250" s="155">
        <v>6.09</v>
      </c>
      <c r="I250" s="156"/>
      <c r="L250" s="152"/>
      <c r="M250" s="157"/>
      <c r="T250" s="158"/>
      <c r="AT250" s="153" t="s">
        <v>249</v>
      </c>
      <c r="AU250" s="153" t="s">
        <v>86</v>
      </c>
      <c r="AV250" s="12" t="s">
        <v>86</v>
      </c>
      <c r="AW250" s="12" t="s">
        <v>37</v>
      </c>
      <c r="AX250" s="12" t="s">
        <v>84</v>
      </c>
      <c r="AY250" s="153" t="s">
        <v>144</v>
      </c>
    </row>
    <row r="251" spans="2:65" s="1" customFormat="1" ht="23.7" customHeight="1">
      <c r="B251" s="33"/>
      <c r="C251" s="172" t="s">
        <v>540</v>
      </c>
      <c r="D251" s="172" t="s">
        <v>410</v>
      </c>
      <c r="E251" s="173" t="s">
        <v>1496</v>
      </c>
      <c r="F251" s="174" t="s">
        <v>1497</v>
      </c>
      <c r="G251" s="175" t="s">
        <v>467</v>
      </c>
      <c r="H251" s="176">
        <v>6.09</v>
      </c>
      <c r="I251" s="177"/>
      <c r="J251" s="178">
        <f>ROUND(I251*H251,2)</f>
        <v>0</v>
      </c>
      <c r="K251" s="174" t="s">
        <v>151</v>
      </c>
      <c r="L251" s="179"/>
      <c r="M251" s="180" t="s">
        <v>19</v>
      </c>
      <c r="N251" s="181" t="s">
        <v>47</v>
      </c>
      <c r="P251" s="137">
        <f>O251*H251</f>
        <v>0</v>
      </c>
      <c r="Q251" s="137">
        <v>0.01</v>
      </c>
      <c r="R251" s="137">
        <f>Q251*H251</f>
        <v>0.0609</v>
      </c>
      <c r="S251" s="137">
        <v>0</v>
      </c>
      <c r="T251" s="138">
        <f>S251*H251</f>
        <v>0</v>
      </c>
      <c r="AR251" s="139" t="s">
        <v>189</v>
      </c>
      <c r="AT251" s="139" t="s">
        <v>410</v>
      </c>
      <c r="AU251" s="139" t="s">
        <v>86</v>
      </c>
      <c r="AY251" s="18" t="s">
        <v>144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8" t="s">
        <v>84</v>
      </c>
      <c r="BK251" s="140">
        <f>ROUND(I251*H251,2)</f>
        <v>0</v>
      </c>
      <c r="BL251" s="18" t="s">
        <v>166</v>
      </c>
      <c r="BM251" s="139" t="s">
        <v>1498</v>
      </c>
    </row>
    <row r="252" spans="2:51" s="12" customFormat="1" ht="12">
      <c r="B252" s="152"/>
      <c r="D252" s="145" t="s">
        <v>249</v>
      </c>
      <c r="E252" s="153" t="s">
        <v>19</v>
      </c>
      <c r="F252" s="154" t="s">
        <v>1495</v>
      </c>
      <c r="H252" s="155">
        <v>6.09</v>
      </c>
      <c r="I252" s="156"/>
      <c r="L252" s="152"/>
      <c r="M252" s="157"/>
      <c r="T252" s="158"/>
      <c r="AT252" s="153" t="s">
        <v>249</v>
      </c>
      <c r="AU252" s="153" t="s">
        <v>86</v>
      </c>
      <c r="AV252" s="12" t="s">
        <v>86</v>
      </c>
      <c r="AW252" s="12" t="s">
        <v>37</v>
      </c>
      <c r="AX252" s="12" t="s">
        <v>84</v>
      </c>
      <c r="AY252" s="153" t="s">
        <v>144</v>
      </c>
    </row>
    <row r="253" spans="2:65" s="1" customFormat="1" ht="23.7" customHeight="1">
      <c r="B253" s="33"/>
      <c r="C253" s="172" t="s">
        <v>545</v>
      </c>
      <c r="D253" s="172" t="s">
        <v>410</v>
      </c>
      <c r="E253" s="173" t="s">
        <v>1499</v>
      </c>
      <c r="F253" s="174" t="s">
        <v>1500</v>
      </c>
      <c r="G253" s="175" t="s">
        <v>467</v>
      </c>
      <c r="H253" s="176">
        <v>6.09</v>
      </c>
      <c r="I253" s="177"/>
      <c r="J253" s="178">
        <f>ROUND(I253*H253,2)</f>
        <v>0</v>
      </c>
      <c r="K253" s="174" t="s">
        <v>151</v>
      </c>
      <c r="L253" s="179"/>
      <c r="M253" s="180" t="s">
        <v>19</v>
      </c>
      <c r="N253" s="181" t="s">
        <v>47</v>
      </c>
      <c r="P253" s="137">
        <f>O253*H253</f>
        <v>0</v>
      </c>
      <c r="Q253" s="137">
        <v>0.01</v>
      </c>
      <c r="R253" s="137">
        <f>Q253*H253</f>
        <v>0.0609</v>
      </c>
      <c r="S253" s="137">
        <v>0</v>
      </c>
      <c r="T253" s="138">
        <f>S253*H253</f>
        <v>0</v>
      </c>
      <c r="AR253" s="139" t="s">
        <v>189</v>
      </c>
      <c r="AT253" s="139" t="s">
        <v>410</v>
      </c>
      <c r="AU253" s="139" t="s">
        <v>86</v>
      </c>
      <c r="AY253" s="18" t="s">
        <v>144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8" t="s">
        <v>84</v>
      </c>
      <c r="BK253" s="140">
        <f>ROUND(I253*H253,2)</f>
        <v>0</v>
      </c>
      <c r="BL253" s="18" t="s">
        <v>166</v>
      </c>
      <c r="BM253" s="139" t="s">
        <v>1501</v>
      </c>
    </row>
    <row r="254" spans="2:51" s="12" customFormat="1" ht="12">
      <c r="B254" s="152"/>
      <c r="D254" s="145" t="s">
        <v>249</v>
      </c>
      <c r="E254" s="153" t="s">
        <v>19</v>
      </c>
      <c r="F254" s="154" t="s">
        <v>1495</v>
      </c>
      <c r="H254" s="155">
        <v>6.09</v>
      </c>
      <c r="I254" s="156"/>
      <c r="L254" s="152"/>
      <c r="M254" s="157"/>
      <c r="T254" s="158"/>
      <c r="AT254" s="153" t="s">
        <v>249</v>
      </c>
      <c r="AU254" s="153" t="s">
        <v>86</v>
      </c>
      <c r="AV254" s="12" t="s">
        <v>86</v>
      </c>
      <c r="AW254" s="12" t="s">
        <v>37</v>
      </c>
      <c r="AX254" s="12" t="s">
        <v>84</v>
      </c>
      <c r="AY254" s="153" t="s">
        <v>144</v>
      </c>
    </row>
    <row r="255" spans="2:65" s="1" customFormat="1" ht="31.95" customHeight="1">
      <c r="B255" s="33"/>
      <c r="C255" s="128" t="s">
        <v>550</v>
      </c>
      <c r="D255" s="128" t="s">
        <v>147</v>
      </c>
      <c r="E255" s="129" t="s">
        <v>1502</v>
      </c>
      <c r="F255" s="130" t="s">
        <v>1503</v>
      </c>
      <c r="G255" s="131" t="s">
        <v>308</v>
      </c>
      <c r="H255" s="132">
        <v>6.9</v>
      </c>
      <c r="I255" s="133"/>
      <c r="J255" s="134">
        <f>ROUND(I255*H255,2)</f>
        <v>0</v>
      </c>
      <c r="K255" s="130" t="s">
        <v>151</v>
      </c>
      <c r="L255" s="33"/>
      <c r="M255" s="135" t="s">
        <v>19</v>
      </c>
      <c r="N255" s="136" t="s">
        <v>47</v>
      </c>
      <c r="P255" s="137">
        <f>O255*H255</f>
        <v>0</v>
      </c>
      <c r="Q255" s="137">
        <v>1.6E-05</v>
      </c>
      <c r="R255" s="137">
        <f>Q255*H255</f>
        <v>0.0001104</v>
      </c>
      <c r="S255" s="137">
        <v>0</v>
      </c>
      <c r="T255" s="138">
        <f>S255*H255</f>
        <v>0</v>
      </c>
      <c r="AR255" s="139" t="s">
        <v>166</v>
      </c>
      <c r="AT255" s="139" t="s">
        <v>147</v>
      </c>
      <c r="AU255" s="139" t="s">
        <v>86</v>
      </c>
      <c r="AY255" s="18" t="s">
        <v>144</v>
      </c>
      <c r="BE255" s="140">
        <f>IF(N255="základní",J255,0)</f>
        <v>0</v>
      </c>
      <c r="BF255" s="140">
        <f>IF(N255="snížená",J255,0)</f>
        <v>0</v>
      </c>
      <c r="BG255" s="140">
        <f>IF(N255="zákl. přenesená",J255,0)</f>
        <v>0</v>
      </c>
      <c r="BH255" s="140">
        <f>IF(N255="sníž. přenesená",J255,0)</f>
        <v>0</v>
      </c>
      <c r="BI255" s="140">
        <f>IF(N255="nulová",J255,0)</f>
        <v>0</v>
      </c>
      <c r="BJ255" s="18" t="s">
        <v>84</v>
      </c>
      <c r="BK255" s="140">
        <f>ROUND(I255*H255,2)</f>
        <v>0</v>
      </c>
      <c r="BL255" s="18" t="s">
        <v>166</v>
      </c>
      <c r="BM255" s="139" t="s">
        <v>1504</v>
      </c>
    </row>
    <row r="256" spans="2:47" s="1" customFormat="1" ht="12">
      <c r="B256" s="33"/>
      <c r="D256" s="141" t="s">
        <v>154</v>
      </c>
      <c r="F256" s="142" t="s">
        <v>1505</v>
      </c>
      <c r="I256" s="143"/>
      <c r="L256" s="33"/>
      <c r="M256" s="144"/>
      <c r="T256" s="54"/>
      <c r="AT256" s="18" t="s">
        <v>154</v>
      </c>
      <c r="AU256" s="18" t="s">
        <v>86</v>
      </c>
    </row>
    <row r="257" spans="2:65" s="1" customFormat="1" ht="23.7" customHeight="1">
      <c r="B257" s="33"/>
      <c r="C257" s="172" t="s">
        <v>554</v>
      </c>
      <c r="D257" s="172" t="s">
        <v>410</v>
      </c>
      <c r="E257" s="173" t="s">
        <v>1506</v>
      </c>
      <c r="F257" s="174" t="s">
        <v>1507</v>
      </c>
      <c r="G257" s="175" t="s">
        <v>308</v>
      </c>
      <c r="H257" s="176">
        <v>7.004</v>
      </c>
      <c r="I257" s="177"/>
      <c r="J257" s="178">
        <f>ROUND(I257*H257,2)</f>
        <v>0</v>
      </c>
      <c r="K257" s="174" t="s">
        <v>151</v>
      </c>
      <c r="L257" s="179"/>
      <c r="M257" s="180" t="s">
        <v>19</v>
      </c>
      <c r="N257" s="181" t="s">
        <v>47</v>
      </c>
      <c r="P257" s="137">
        <f>O257*H257</f>
        <v>0</v>
      </c>
      <c r="Q257" s="137">
        <v>0.00731</v>
      </c>
      <c r="R257" s="137">
        <f>Q257*H257</f>
        <v>0.05119923999999999</v>
      </c>
      <c r="S257" s="137">
        <v>0</v>
      </c>
      <c r="T257" s="138">
        <f>S257*H257</f>
        <v>0</v>
      </c>
      <c r="AR257" s="139" t="s">
        <v>189</v>
      </c>
      <c r="AT257" s="139" t="s">
        <v>410</v>
      </c>
      <c r="AU257" s="139" t="s">
        <v>86</v>
      </c>
      <c r="AY257" s="18" t="s">
        <v>144</v>
      </c>
      <c r="BE257" s="140">
        <f>IF(N257="základní",J257,0)</f>
        <v>0</v>
      </c>
      <c r="BF257" s="140">
        <f>IF(N257="snížená",J257,0)</f>
        <v>0</v>
      </c>
      <c r="BG257" s="140">
        <f>IF(N257="zákl. přenesená",J257,0)</f>
        <v>0</v>
      </c>
      <c r="BH257" s="140">
        <f>IF(N257="sníž. přenesená",J257,0)</f>
        <v>0</v>
      </c>
      <c r="BI257" s="140">
        <f>IF(N257="nulová",J257,0)</f>
        <v>0</v>
      </c>
      <c r="BJ257" s="18" t="s">
        <v>84</v>
      </c>
      <c r="BK257" s="140">
        <f>ROUND(I257*H257,2)</f>
        <v>0</v>
      </c>
      <c r="BL257" s="18" t="s">
        <v>166</v>
      </c>
      <c r="BM257" s="139" t="s">
        <v>1508</v>
      </c>
    </row>
    <row r="258" spans="2:51" s="12" customFormat="1" ht="12">
      <c r="B258" s="152"/>
      <c r="D258" s="145" t="s">
        <v>249</v>
      </c>
      <c r="E258" s="153" t="s">
        <v>19</v>
      </c>
      <c r="F258" s="154" t="s">
        <v>1509</v>
      </c>
      <c r="H258" s="155">
        <v>7.004</v>
      </c>
      <c r="I258" s="156"/>
      <c r="L258" s="152"/>
      <c r="M258" s="157"/>
      <c r="T258" s="158"/>
      <c r="AT258" s="153" t="s">
        <v>249</v>
      </c>
      <c r="AU258" s="153" t="s">
        <v>86</v>
      </c>
      <c r="AV258" s="12" t="s">
        <v>86</v>
      </c>
      <c r="AW258" s="12" t="s">
        <v>37</v>
      </c>
      <c r="AX258" s="12" t="s">
        <v>84</v>
      </c>
      <c r="AY258" s="153" t="s">
        <v>144</v>
      </c>
    </row>
    <row r="259" spans="2:65" s="1" customFormat="1" ht="31.95" customHeight="1">
      <c r="B259" s="33"/>
      <c r="C259" s="128" t="s">
        <v>560</v>
      </c>
      <c r="D259" s="128" t="s">
        <v>147</v>
      </c>
      <c r="E259" s="129" t="s">
        <v>1510</v>
      </c>
      <c r="F259" s="130" t="s">
        <v>1511</v>
      </c>
      <c r="G259" s="131" t="s">
        <v>308</v>
      </c>
      <c r="H259" s="132">
        <v>1.6</v>
      </c>
      <c r="I259" s="133"/>
      <c r="J259" s="134">
        <f>ROUND(I259*H259,2)</f>
        <v>0</v>
      </c>
      <c r="K259" s="130" t="s">
        <v>151</v>
      </c>
      <c r="L259" s="33"/>
      <c r="M259" s="135" t="s">
        <v>19</v>
      </c>
      <c r="N259" s="136" t="s">
        <v>47</v>
      </c>
      <c r="P259" s="137">
        <f>O259*H259</f>
        <v>0</v>
      </c>
      <c r="Q259" s="137">
        <v>1.8E-05</v>
      </c>
      <c r="R259" s="137">
        <f>Q259*H259</f>
        <v>2.8800000000000002E-05</v>
      </c>
      <c r="S259" s="137">
        <v>0</v>
      </c>
      <c r="T259" s="138">
        <f>S259*H259</f>
        <v>0</v>
      </c>
      <c r="AR259" s="139" t="s">
        <v>166</v>
      </c>
      <c r="AT259" s="139" t="s">
        <v>147</v>
      </c>
      <c r="AU259" s="139" t="s">
        <v>86</v>
      </c>
      <c r="AY259" s="18" t="s">
        <v>144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8" t="s">
        <v>84</v>
      </c>
      <c r="BK259" s="140">
        <f>ROUND(I259*H259,2)</f>
        <v>0</v>
      </c>
      <c r="BL259" s="18" t="s">
        <v>166</v>
      </c>
      <c r="BM259" s="139" t="s">
        <v>1512</v>
      </c>
    </row>
    <row r="260" spans="2:47" s="1" customFormat="1" ht="12">
      <c r="B260" s="33"/>
      <c r="D260" s="141" t="s">
        <v>154</v>
      </c>
      <c r="F260" s="142" t="s">
        <v>1513</v>
      </c>
      <c r="I260" s="143"/>
      <c r="L260" s="33"/>
      <c r="M260" s="144"/>
      <c r="T260" s="54"/>
      <c r="AT260" s="18" t="s">
        <v>154</v>
      </c>
      <c r="AU260" s="18" t="s">
        <v>86</v>
      </c>
    </row>
    <row r="261" spans="2:65" s="1" customFormat="1" ht="23.7" customHeight="1">
      <c r="B261" s="33"/>
      <c r="C261" s="172" t="s">
        <v>564</v>
      </c>
      <c r="D261" s="172" t="s">
        <v>410</v>
      </c>
      <c r="E261" s="173" t="s">
        <v>1514</v>
      </c>
      <c r="F261" s="174" t="s">
        <v>1515</v>
      </c>
      <c r="G261" s="175" t="s">
        <v>308</v>
      </c>
      <c r="H261" s="176">
        <v>1.624</v>
      </c>
      <c r="I261" s="177"/>
      <c r="J261" s="178">
        <f>ROUND(I261*H261,2)</f>
        <v>0</v>
      </c>
      <c r="K261" s="174" t="s">
        <v>151</v>
      </c>
      <c r="L261" s="179"/>
      <c r="M261" s="180" t="s">
        <v>19</v>
      </c>
      <c r="N261" s="181" t="s">
        <v>47</v>
      </c>
      <c r="P261" s="137">
        <f>O261*H261</f>
        <v>0</v>
      </c>
      <c r="Q261" s="137">
        <v>0.0114</v>
      </c>
      <c r="R261" s="137">
        <f>Q261*H261</f>
        <v>0.0185136</v>
      </c>
      <c r="S261" s="137">
        <v>0</v>
      </c>
      <c r="T261" s="138">
        <f>S261*H261</f>
        <v>0</v>
      </c>
      <c r="AR261" s="139" t="s">
        <v>189</v>
      </c>
      <c r="AT261" s="139" t="s">
        <v>410</v>
      </c>
      <c r="AU261" s="139" t="s">
        <v>86</v>
      </c>
      <c r="AY261" s="18" t="s">
        <v>144</v>
      </c>
      <c r="BE261" s="140">
        <f>IF(N261="základní",J261,0)</f>
        <v>0</v>
      </c>
      <c r="BF261" s="140">
        <f>IF(N261="snížená",J261,0)</f>
        <v>0</v>
      </c>
      <c r="BG261" s="140">
        <f>IF(N261="zákl. přenesená",J261,0)</f>
        <v>0</v>
      </c>
      <c r="BH261" s="140">
        <f>IF(N261="sníž. přenesená",J261,0)</f>
        <v>0</v>
      </c>
      <c r="BI261" s="140">
        <f>IF(N261="nulová",J261,0)</f>
        <v>0</v>
      </c>
      <c r="BJ261" s="18" t="s">
        <v>84</v>
      </c>
      <c r="BK261" s="140">
        <f>ROUND(I261*H261,2)</f>
        <v>0</v>
      </c>
      <c r="BL261" s="18" t="s">
        <v>166</v>
      </c>
      <c r="BM261" s="139" t="s">
        <v>1516</v>
      </c>
    </row>
    <row r="262" spans="2:51" s="12" customFormat="1" ht="12">
      <c r="B262" s="152"/>
      <c r="D262" s="145" t="s">
        <v>249</v>
      </c>
      <c r="E262" s="153" t="s">
        <v>19</v>
      </c>
      <c r="F262" s="154" t="s">
        <v>1517</v>
      </c>
      <c r="H262" s="155">
        <v>1.624</v>
      </c>
      <c r="I262" s="156"/>
      <c r="L262" s="152"/>
      <c r="M262" s="157"/>
      <c r="T262" s="158"/>
      <c r="AT262" s="153" t="s">
        <v>249</v>
      </c>
      <c r="AU262" s="153" t="s">
        <v>86</v>
      </c>
      <c r="AV262" s="12" t="s">
        <v>86</v>
      </c>
      <c r="AW262" s="12" t="s">
        <v>37</v>
      </c>
      <c r="AX262" s="12" t="s">
        <v>84</v>
      </c>
      <c r="AY262" s="153" t="s">
        <v>144</v>
      </c>
    </row>
    <row r="263" spans="2:65" s="1" customFormat="1" ht="23.7" customHeight="1">
      <c r="B263" s="33"/>
      <c r="C263" s="128" t="s">
        <v>573</v>
      </c>
      <c r="D263" s="128" t="s">
        <v>147</v>
      </c>
      <c r="E263" s="129" t="s">
        <v>1518</v>
      </c>
      <c r="F263" s="130" t="s">
        <v>1519</v>
      </c>
      <c r="G263" s="131" t="s">
        <v>467</v>
      </c>
      <c r="H263" s="132">
        <v>4</v>
      </c>
      <c r="I263" s="133"/>
      <c r="J263" s="134">
        <f>ROUND(I263*H263,2)</f>
        <v>0</v>
      </c>
      <c r="K263" s="130" t="s">
        <v>151</v>
      </c>
      <c r="L263" s="33"/>
      <c r="M263" s="135" t="s">
        <v>19</v>
      </c>
      <c r="N263" s="136" t="s">
        <v>47</v>
      </c>
      <c r="P263" s="137">
        <f>O263*H263</f>
        <v>0</v>
      </c>
      <c r="Q263" s="137">
        <v>0.459372906</v>
      </c>
      <c r="R263" s="137">
        <f>Q263*H263</f>
        <v>1.837491624</v>
      </c>
      <c r="S263" s="137">
        <v>0</v>
      </c>
      <c r="T263" s="138">
        <f>S263*H263</f>
        <v>0</v>
      </c>
      <c r="AR263" s="139" t="s">
        <v>166</v>
      </c>
      <c r="AT263" s="139" t="s">
        <v>147</v>
      </c>
      <c r="AU263" s="139" t="s">
        <v>86</v>
      </c>
      <c r="AY263" s="18" t="s">
        <v>144</v>
      </c>
      <c r="BE263" s="140">
        <f>IF(N263="základní",J263,0)</f>
        <v>0</v>
      </c>
      <c r="BF263" s="140">
        <f>IF(N263="snížená",J263,0)</f>
        <v>0</v>
      </c>
      <c r="BG263" s="140">
        <f>IF(N263="zákl. přenesená",J263,0)</f>
        <v>0</v>
      </c>
      <c r="BH263" s="140">
        <f>IF(N263="sníž. přenesená",J263,0)</f>
        <v>0</v>
      </c>
      <c r="BI263" s="140">
        <f>IF(N263="nulová",J263,0)</f>
        <v>0</v>
      </c>
      <c r="BJ263" s="18" t="s">
        <v>84</v>
      </c>
      <c r="BK263" s="140">
        <f>ROUND(I263*H263,2)</f>
        <v>0</v>
      </c>
      <c r="BL263" s="18" t="s">
        <v>166</v>
      </c>
      <c r="BM263" s="139" t="s">
        <v>1520</v>
      </c>
    </row>
    <row r="264" spans="2:47" s="1" customFormat="1" ht="12">
      <c r="B264" s="33"/>
      <c r="D264" s="141" t="s">
        <v>154</v>
      </c>
      <c r="F264" s="142" t="s">
        <v>1521</v>
      </c>
      <c r="I264" s="143"/>
      <c r="L264" s="33"/>
      <c r="M264" s="144"/>
      <c r="T264" s="54"/>
      <c r="AT264" s="18" t="s">
        <v>154</v>
      </c>
      <c r="AU264" s="18" t="s">
        <v>86</v>
      </c>
    </row>
    <row r="265" spans="2:65" s="1" customFormat="1" ht="23.7" customHeight="1">
      <c r="B265" s="33"/>
      <c r="C265" s="128" t="s">
        <v>578</v>
      </c>
      <c r="D265" s="128" t="s">
        <v>147</v>
      </c>
      <c r="E265" s="129" t="s">
        <v>1522</v>
      </c>
      <c r="F265" s="130" t="s">
        <v>1523</v>
      </c>
      <c r="G265" s="131" t="s">
        <v>308</v>
      </c>
      <c r="H265" s="132">
        <v>163.5</v>
      </c>
      <c r="I265" s="133"/>
      <c r="J265" s="134">
        <f>ROUND(I265*H265,2)</f>
        <v>0</v>
      </c>
      <c r="K265" s="130" t="s">
        <v>151</v>
      </c>
      <c r="L265" s="33"/>
      <c r="M265" s="135" t="s">
        <v>19</v>
      </c>
      <c r="N265" s="136" t="s">
        <v>47</v>
      </c>
      <c r="P265" s="137">
        <f>O265*H265</f>
        <v>0</v>
      </c>
      <c r="Q265" s="137">
        <v>0</v>
      </c>
      <c r="R265" s="137">
        <f>Q265*H265</f>
        <v>0</v>
      </c>
      <c r="S265" s="137">
        <v>0</v>
      </c>
      <c r="T265" s="138">
        <f>S265*H265</f>
        <v>0</v>
      </c>
      <c r="AR265" s="139" t="s">
        <v>166</v>
      </c>
      <c r="AT265" s="139" t="s">
        <v>147</v>
      </c>
      <c r="AU265" s="139" t="s">
        <v>86</v>
      </c>
      <c r="AY265" s="18" t="s">
        <v>144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8" t="s">
        <v>84</v>
      </c>
      <c r="BK265" s="140">
        <f>ROUND(I265*H265,2)</f>
        <v>0</v>
      </c>
      <c r="BL265" s="18" t="s">
        <v>166</v>
      </c>
      <c r="BM265" s="139" t="s">
        <v>1524</v>
      </c>
    </row>
    <row r="266" spans="2:47" s="1" customFormat="1" ht="12">
      <c r="B266" s="33"/>
      <c r="D266" s="141" t="s">
        <v>154</v>
      </c>
      <c r="F266" s="142" t="s">
        <v>1525</v>
      </c>
      <c r="I266" s="143"/>
      <c r="L266" s="33"/>
      <c r="M266" s="144"/>
      <c r="T266" s="54"/>
      <c r="AT266" s="18" t="s">
        <v>154</v>
      </c>
      <c r="AU266" s="18" t="s">
        <v>86</v>
      </c>
    </row>
    <row r="267" spans="2:51" s="12" customFormat="1" ht="12">
      <c r="B267" s="152"/>
      <c r="D267" s="145" t="s">
        <v>249</v>
      </c>
      <c r="E267" s="153" t="s">
        <v>19</v>
      </c>
      <c r="F267" s="154" t="s">
        <v>1526</v>
      </c>
      <c r="H267" s="155">
        <v>92</v>
      </c>
      <c r="I267" s="156"/>
      <c r="L267" s="152"/>
      <c r="M267" s="157"/>
      <c r="T267" s="158"/>
      <c r="AT267" s="153" t="s">
        <v>249</v>
      </c>
      <c r="AU267" s="153" t="s">
        <v>86</v>
      </c>
      <c r="AV267" s="12" t="s">
        <v>86</v>
      </c>
      <c r="AW267" s="12" t="s">
        <v>37</v>
      </c>
      <c r="AX267" s="12" t="s">
        <v>76</v>
      </c>
      <c r="AY267" s="153" t="s">
        <v>144</v>
      </c>
    </row>
    <row r="268" spans="2:51" s="12" customFormat="1" ht="12">
      <c r="B268" s="152"/>
      <c r="D268" s="145" t="s">
        <v>249</v>
      </c>
      <c r="E268" s="153" t="s">
        <v>19</v>
      </c>
      <c r="F268" s="154" t="s">
        <v>1527</v>
      </c>
      <c r="H268" s="155">
        <v>27.5</v>
      </c>
      <c r="I268" s="156"/>
      <c r="L268" s="152"/>
      <c r="M268" s="157"/>
      <c r="T268" s="158"/>
      <c r="AT268" s="153" t="s">
        <v>249</v>
      </c>
      <c r="AU268" s="153" t="s">
        <v>86</v>
      </c>
      <c r="AV268" s="12" t="s">
        <v>86</v>
      </c>
      <c r="AW268" s="12" t="s">
        <v>37</v>
      </c>
      <c r="AX268" s="12" t="s">
        <v>76</v>
      </c>
      <c r="AY268" s="153" t="s">
        <v>144</v>
      </c>
    </row>
    <row r="269" spans="2:51" s="12" customFormat="1" ht="12">
      <c r="B269" s="152"/>
      <c r="D269" s="145" t="s">
        <v>249</v>
      </c>
      <c r="E269" s="153" t="s">
        <v>19</v>
      </c>
      <c r="F269" s="154" t="s">
        <v>1528</v>
      </c>
      <c r="H269" s="155">
        <v>44</v>
      </c>
      <c r="I269" s="156"/>
      <c r="L269" s="152"/>
      <c r="M269" s="157"/>
      <c r="T269" s="158"/>
      <c r="AT269" s="153" t="s">
        <v>249</v>
      </c>
      <c r="AU269" s="153" t="s">
        <v>86</v>
      </c>
      <c r="AV269" s="12" t="s">
        <v>86</v>
      </c>
      <c r="AW269" s="12" t="s">
        <v>37</v>
      </c>
      <c r="AX269" s="12" t="s">
        <v>76</v>
      </c>
      <c r="AY269" s="153" t="s">
        <v>144</v>
      </c>
    </row>
    <row r="270" spans="2:51" s="13" customFormat="1" ht="12">
      <c r="B270" s="159"/>
      <c r="D270" s="145" t="s">
        <v>249</v>
      </c>
      <c r="E270" s="160" t="s">
        <v>19</v>
      </c>
      <c r="F270" s="161" t="s">
        <v>251</v>
      </c>
      <c r="H270" s="162">
        <v>163.5</v>
      </c>
      <c r="I270" s="163"/>
      <c r="L270" s="159"/>
      <c r="M270" s="164"/>
      <c r="T270" s="165"/>
      <c r="AT270" s="160" t="s">
        <v>249</v>
      </c>
      <c r="AU270" s="160" t="s">
        <v>86</v>
      </c>
      <c r="AV270" s="13" t="s">
        <v>166</v>
      </c>
      <c r="AW270" s="13" t="s">
        <v>37</v>
      </c>
      <c r="AX270" s="13" t="s">
        <v>84</v>
      </c>
      <c r="AY270" s="160" t="s">
        <v>144</v>
      </c>
    </row>
    <row r="271" spans="2:65" s="1" customFormat="1" ht="42.6" customHeight="1">
      <c r="B271" s="33"/>
      <c r="C271" s="128" t="s">
        <v>582</v>
      </c>
      <c r="D271" s="128" t="s">
        <v>147</v>
      </c>
      <c r="E271" s="129" t="s">
        <v>1529</v>
      </c>
      <c r="F271" s="130" t="s">
        <v>1530</v>
      </c>
      <c r="G271" s="131" t="s">
        <v>324</v>
      </c>
      <c r="H271" s="132">
        <v>0.648</v>
      </c>
      <c r="I271" s="133"/>
      <c r="J271" s="134">
        <f>ROUND(I271*H271,2)</f>
        <v>0</v>
      </c>
      <c r="K271" s="130" t="s">
        <v>151</v>
      </c>
      <c r="L271" s="33"/>
      <c r="M271" s="135" t="s">
        <v>19</v>
      </c>
      <c r="N271" s="136" t="s">
        <v>47</v>
      </c>
      <c r="P271" s="137">
        <f>O271*H271</f>
        <v>0</v>
      </c>
      <c r="Q271" s="137">
        <v>2.50187</v>
      </c>
      <c r="R271" s="137">
        <f>Q271*H271</f>
        <v>1.62121176</v>
      </c>
      <c r="S271" s="137">
        <v>0</v>
      </c>
      <c r="T271" s="138">
        <f>S271*H271</f>
        <v>0</v>
      </c>
      <c r="AR271" s="139" t="s">
        <v>166</v>
      </c>
      <c r="AT271" s="139" t="s">
        <v>147</v>
      </c>
      <c r="AU271" s="139" t="s">
        <v>86</v>
      </c>
      <c r="AY271" s="18" t="s">
        <v>144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8" t="s">
        <v>84</v>
      </c>
      <c r="BK271" s="140">
        <f>ROUND(I271*H271,2)</f>
        <v>0</v>
      </c>
      <c r="BL271" s="18" t="s">
        <v>166</v>
      </c>
      <c r="BM271" s="139" t="s">
        <v>1531</v>
      </c>
    </row>
    <row r="272" spans="2:47" s="1" customFormat="1" ht="12">
      <c r="B272" s="33"/>
      <c r="D272" s="141" t="s">
        <v>154</v>
      </c>
      <c r="F272" s="142" t="s">
        <v>1532</v>
      </c>
      <c r="I272" s="143"/>
      <c r="L272" s="33"/>
      <c r="M272" s="144"/>
      <c r="T272" s="54"/>
      <c r="AT272" s="18" t="s">
        <v>154</v>
      </c>
      <c r="AU272" s="18" t="s">
        <v>86</v>
      </c>
    </row>
    <row r="273" spans="2:51" s="12" customFormat="1" ht="12">
      <c r="B273" s="152"/>
      <c r="D273" s="145" t="s">
        <v>249</v>
      </c>
      <c r="E273" s="153" t="s">
        <v>19</v>
      </c>
      <c r="F273" s="154" t="s">
        <v>1533</v>
      </c>
      <c r="H273" s="155">
        <v>0.648</v>
      </c>
      <c r="I273" s="156"/>
      <c r="L273" s="152"/>
      <c r="M273" s="157"/>
      <c r="T273" s="158"/>
      <c r="AT273" s="153" t="s">
        <v>249</v>
      </c>
      <c r="AU273" s="153" t="s">
        <v>86</v>
      </c>
      <c r="AV273" s="12" t="s">
        <v>86</v>
      </c>
      <c r="AW273" s="12" t="s">
        <v>37</v>
      </c>
      <c r="AX273" s="12" t="s">
        <v>84</v>
      </c>
      <c r="AY273" s="153" t="s">
        <v>144</v>
      </c>
    </row>
    <row r="274" spans="2:65" s="1" customFormat="1" ht="42.6" customHeight="1">
      <c r="B274" s="33"/>
      <c r="C274" s="128" t="s">
        <v>590</v>
      </c>
      <c r="D274" s="128" t="s">
        <v>147</v>
      </c>
      <c r="E274" s="129" t="s">
        <v>1534</v>
      </c>
      <c r="F274" s="130" t="s">
        <v>1535</v>
      </c>
      <c r="G274" s="131" t="s">
        <v>324</v>
      </c>
      <c r="H274" s="132">
        <v>4.176</v>
      </c>
      <c r="I274" s="133"/>
      <c r="J274" s="134">
        <f>ROUND(I274*H274,2)</f>
        <v>0</v>
      </c>
      <c r="K274" s="130" t="s">
        <v>151</v>
      </c>
      <c r="L274" s="33"/>
      <c r="M274" s="135" t="s">
        <v>19</v>
      </c>
      <c r="N274" s="136" t="s">
        <v>47</v>
      </c>
      <c r="P274" s="137">
        <f>O274*H274</f>
        <v>0</v>
      </c>
      <c r="Q274" s="137">
        <v>2.50187</v>
      </c>
      <c r="R274" s="137">
        <f>Q274*H274</f>
        <v>10.44780912</v>
      </c>
      <c r="S274" s="137">
        <v>0</v>
      </c>
      <c r="T274" s="138">
        <f>S274*H274</f>
        <v>0</v>
      </c>
      <c r="AR274" s="139" t="s">
        <v>166</v>
      </c>
      <c r="AT274" s="139" t="s">
        <v>147</v>
      </c>
      <c r="AU274" s="139" t="s">
        <v>86</v>
      </c>
      <c r="AY274" s="18" t="s">
        <v>144</v>
      </c>
      <c r="BE274" s="140">
        <f>IF(N274="základní",J274,0)</f>
        <v>0</v>
      </c>
      <c r="BF274" s="140">
        <f>IF(N274="snížená",J274,0)</f>
        <v>0</v>
      </c>
      <c r="BG274" s="140">
        <f>IF(N274="zákl. přenesená",J274,0)</f>
        <v>0</v>
      </c>
      <c r="BH274" s="140">
        <f>IF(N274="sníž. přenesená",J274,0)</f>
        <v>0</v>
      </c>
      <c r="BI274" s="140">
        <f>IF(N274="nulová",J274,0)</f>
        <v>0</v>
      </c>
      <c r="BJ274" s="18" t="s">
        <v>84</v>
      </c>
      <c r="BK274" s="140">
        <f>ROUND(I274*H274,2)</f>
        <v>0</v>
      </c>
      <c r="BL274" s="18" t="s">
        <v>166</v>
      </c>
      <c r="BM274" s="139" t="s">
        <v>1536</v>
      </c>
    </row>
    <row r="275" spans="2:47" s="1" customFormat="1" ht="12">
      <c r="B275" s="33"/>
      <c r="D275" s="141" t="s">
        <v>154</v>
      </c>
      <c r="F275" s="142" t="s">
        <v>1537</v>
      </c>
      <c r="I275" s="143"/>
      <c r="L275" s="33"/>
      <c r="M275" s="144"/>
      <c r="T275" s="54"/>
      <c r="AT275" s="18" t="s">
        <v>154</v>
      </c>
      <c r="AU275" s="18" t="s">
        <v>86</v>
      </c>
    </row>
    <row r="276" spans="2:51" s="12" customFormat="1" ht="12">
      <c r="B276" s="152"/>
      <c r="D276" s="145" t="s">
        <v>249</v>
      </c>
      <c r="E276" s="153" t="s">
        <v>19</v>
      </c>
      <c r="F276" s="154" t="s">
        <v>1538</v>
      </c>
      <c r="H276" s="155">
        <v>4.176</v>
      </c>
      <c r="I276" s="156"/>
      <c r="L276" s="152"/>
      <c r="M276" s="157"/>
      <c r="T276" s="158"/>
      <c r="AT276" s="153" t="s">
        <v>249</v>
      </c>
      <c r="AU276" s="153" t="s">
        <v>86</v>
      </c>
      <c r="AV276" s="12" t="s">
        <v>86</v>
      </c>
      <c r="AW276" s="12" t="s">
        <v>37</v>
      </c>
      <c r="AX276" s="12" t="s">
        <v>84</v>
      </c>
      <c r="AY276" s="153" t="s">
        <v>144</v>
      </c>
    </row>
    <row r="277" spans="2:65" s="1" customFormat="1" ht="42.6" customHeight="1">
      <c r="B277" s="33"/>
      <c r="C277" s="128" t="s">
        <v>596</v>
      </c>
      <c r="D277" s="128" t="s">
        <v>147</v>
      </c>
      <c r="E277" s="129" t="s">
        <v>1539</v>
      </c>
      <c r="F277" s="130" t="s">
        <v>1540</v>
      </c>
      <c r="G277" s="131" t="s">
        <v>467</v>
      </c>
      <c r="H277" s="132">
        <v>6</v>
      </c>
      <c r="I277" s="133"/>
      <c r="J277" s="134">
        <f>ROUND(I277*H277,2)</f>
        <v>0</v>
      </c>
      <c r="K277" s="130" t="s">
        <v>151</v>
      </c>
      <c r="L277" s="33"/>
      <c r="M277" s="135" t="s">
        <v>19</v>
      </c>
      <c r="N277" s="136" t="s">
        <v>47</v>
      </c>
      <c r="P277" s="137">
        <f>O277*H277</f>
        <v>0</v>
      </c>
      <c r="Q277" s="137">
        <v>2.355739364</v>
      </c>
      <c r="R277" s="137">
        <f>Q277*H277</f>
        <v>14.134436184000002</v>
      </c>
      <c r="S277" s="137">
        <v>0</v>
      </c>
      <c r="T277" s="138">
        <f>S277*H277</f>
        <v>0</v>
      </c>
      <c r="AR277" s="139" t="s">
        <v>166</v>
      </c>
      <c r="AT277" s="139" t="s">
        <v>147</v>
      </c>
      <c r="AU277" s="139" t="s">
        <v>86</v>
      </c>
      <c r="AY277" s="18" t="s">
        <v>144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8" t="s">
        <v>84</v>
      </c>
      <c r="BK277" s="140">
        <f>ROUND(I277*H277,2)</f>
        <v>0</v>
      </c>
      <c r="BL277" s="18" t="s">
        <v>166</v>
      </c>
      <c r="BM277" s="139" t="s">
        <v>1541</v>
      </c>
    </row>
    <row r="278" spans="2:47" s="1" customFormat="1" ht="12">
      <c r="B278" s="33"/>
      <c r="D278" s="141" t="s">
        <v>154</v>
      </c>
      <c r="F278" s="142" t="s">
        <v>1542</v>
      </c>
      <c r="I278" s="143"/>
      <c r="L278" s="33"/>
      <c r="M278" s="144"/>
      <c r="T278" s="54"/>
      <c r="AT278" s="18" t="s">
        <v>154</v>
      </c>
      <c r="AU278" s="18" t="s">
        <v>86</v>
      </c>
    </row>
    <row r="279" spans="2:65" s="1" customFormat="1" ht="15" customHeight="1">
      <c r="B279" s="33"/>
      <c r="C279" s="172" t="s">
        <v>603</v>
      </c>
      <c r="D279" s="172" t="s">
        <v>410</v>
      </c>
      <c r="E279" s="173" t="s">
        <v>1543</v>
      </c>
      <c r="F279" s="174" t="s">
        <v>1544</v>
      </c>
      <c r="G279" s="175" t="s">
        <v>467</v>
      </c>
      <c r="H279" s="176">
        <v>5</v>
      </c>
      <c r="I279" s="177"/>
      <c r="J279" s="178">
        <f>ROUND(I279*H279,2)</f>
        <v>0</v>
      </c>
      <c r="K279" s="174" t="s">
        <v>19</v>
      </c>
      <c r="L279" s="179"/>
      <c r="M279" s="180" t="s">
        <v>19</v>
      </c>
      <c r="N279" s="181" t="s">
        <v>47</v>
      </c>
      <c r="P279" s="137">
        <f>O279*H279</f>
        <v>0</v>
      </c>
      <c r="Q279" s="137">
        <v>0.585</v>
      </c>
      <c r="R279" s="137">
        <f>Q279*H279</f>
        <v>2.925</v>
      </c>
      <c r="S279" s="137">
        <v>0</v>
      </c>
      <c r="T279" s="138">
        <f>S279*H279</f>
        <v>0</v>
      </c>
      <c r="AR279" s="139" t="s">
        <v>189</v>
      </c>
      <c r="AT279" s="139" t="s">
        <v>410</v>
      </c>
      <c r="AU279" s="139" t="s">
        <v>86</v>
      </c>
      <c r="AY279" s="18" t="s">
        <v>144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8" t="s">
        <v>84</v>
      </c>
      <c r="BK279" s="140">
        <f>ROUND(I279*H279,2)</f>
        <v>0</v>
      </c>
      <c r="BL279" s="18" t="s">
        <v>166</v>
      </c>
      <c r="BM279" s="139" t="s">
        <v>1545</v>
      </c>
    </row>
    <row r="280" spans="2:51" s="12" customFormat="1" ht="12">
      <c r="B280" s="152"/>
      <c r="D280" s="145" t="s">
        <v>249</v>
      </c>
      <c r="E280" s="153" t="s">
        <v>19</v>
      </c>
      <c r="F280" s="154" t="s">
        <v>1546</v>
      </c>
      <c r="H280" s="155">
        <v>5</v>
      </c>
      <c r="I280" s="156"/>
      <c r="L280" s="152"/>
      <c r="M280" s="157"/>
      <c r="T280" s="158"/>
      <c r="AT280" s="153" t="s">
        <v>249</v>
      </c>
      <c r="AU280" s="153" t="s">
        <v>86</v>
      </c>
      <c r="AV280" s="12" t="s">
        <v>86</v>
      </c>
      <c r="AW280" s="12" t="s">
        <v>37</v>
      </c>
      <c r="AX280" s="12" t="s">
        <v>76</v>
      </c>
      <c r="AY280" s="153" t="s">
        <v>144</v>
      </c>
    </row>
    <row r="281" spans="2:51" s="13" customFormat="1" ht="12">
      <c r="B281" s="159"/>
      <c r="D281" s="145" t="s">
        <v>249</v>
      </c>
      <c r="E281" s="160" t="s">
        <v>19</v>
      </c>
      <c r="F281" s="161" t="s">
        <v>251</v>
      </c>
      <c r="H281" s="162">
        <v>5</v>
      </c>
      <c r="I281" s="163"/>
      <c r="L281" s="159"/>
      <c r="M281" s="164"/>
      <c r="T281" s="165"/>
      <c r="AT281" s="160" t="s">
        <v>249</v>
      </c>
      <c r="AU281" s="160" t="s">
        <v>86</v>
      </c>
      <c r="AV281" s="13" t="s">
        <v>166</v>
      </c>
      <c r="AW281" s="13" t="s">
        <v>37</v>
      </c>
      <c r="AX281" s="13" t="s">
        <v>84</v>
      </c>
      <c r="AY281" s="160" t="s">
        <v>144</v>
      </c>
    </row>
    <row r="282" spans="2:65" s="1" customFormat="1" ht="15" customHeight="1">
      <c r="B282" s="33"/>
      <c r="C282" s="172" t="s">
        <v>609</v>
      </c>
      <c r="D282" s="172" t="s">
        <v>410</v>
      </c>
      <c r="E282" s="173" t="s">
        <v>1547</v>
      </c>
      <c r="F282" s="174" t="s">
        <v>1548</v>
      </c>
      <c r="G282" s="175" t="s">
        <v>467</v>
      </c>
      <c r="H282" s="176">
        <v>1</v>
      </c>
      <c r="I282" s="177"/>
      <c r="J282" s="178">
        <f>ROUND(I282*H282,2)</f>
        <v>0</v>
      </c>
      <c r="K282" s="174" t="s">
        <v>19</v>
      </c>
      <c r="L282" s="179"/>
      <c r="M282" s="180" t="s">
        <v>19</v>
      </c>
      <c r="N282" s="181" t="s">
        <v>47</v>
      </c>
      <c r="P282" s="137">
        <f>O282*H282</f>
        <v>0</v>
      </c>
      <c r="Q282" s="137">
        <v>0.521</v>
      </c>
      <c r="R282" s="137">
        <f>Q282*H282</f>
        <v>0.521</v>
      </c>
      <c r="S282" s="137">
        <v>0</v>
      </c>
      <c r="T282" s="138">
        <f>S282*H282</f>
        <v>0</v>
      </c>
      <c r="AR282" s="139" t="s">
        <v>189</v>
      </c>
      <c r="AT282" s="139" t="s">
        <v>410</v>
      </c>
      <c r="AU282" s="139" t="s">
        <v>86</v>
      </c>
      <c r="AY282" s="18" t="s">
        <v>144</v>
      </c>
      <c r="BE282" s="140">
        <f>IF(N282="základní",J282,0)</f>
        <v>0</v>
      </c>
      <c r="BF282" s="140">
        <f>IF(N282="snížená",J282,0)</f>
        <v>0</v>
      </c>
      <c r="BG282" s="140">
        <f>IF(N282="zákl. přenesená",J282,0)</f>
        <v>0</v>
      </c>
      <c r="BH282" s="140">
        <f>IF(N282="sníž. přenesená",J282,0)</f>
        <v>0</v>
      </c>
      <c r="BI282" s="140">
        <f>IF(N282="nulová",J282,0)</f>
        <v>0</v>
      </c>
      <c r="BJ282" s="18" t="s">
        <v>84</v>
      </c>
      <c r="BK282" s="140">
        <f>ROUND(I282*H282,2)</f>
        <v>0</v>
      </c>
      <c r="BL282" s="18" t="s">
        <v>166</v>
      </c>
      <c r="BM282" s="139" t="s">
        <v>1549</v>
      </c>
    </row>
    <row r="283" spans="2:65" s="1" customFormat="1" ht="23.7" customHeight="1">
      <c r="B283" s="33"/>
      <c r="C283" s="172" t="s">
        <v>613</v>
      </c>
      <c r="D283" s="172" t="s">
        <v>410</v>
      </c>
      <c r="E283" s="173" t="s">
        <v>1550</v>
      </c>
      <c r="F283" s="174" t="s">
        <v>1551</v>
      </c>
      <c r="G283" s="175" t="s">
        <v>467</v>
      </c>
      <c r="H283" s="176">
        <v>5</v>
      </c>
      <c r="I283" s="177"/>
      <c r="J283" s="178">
        <f>ROUND(I283*H283,2)</f>
        <v>0</v>
      </c>
      <c r="K283" s="174" t="s">
        <v>19</v>
      </c>
      <c r="L283" s="179"/>
      <c r="M283" s="180" t="s">
        <v>19</v>
      </c>
      <c r="N283" s="181" t="s">
        <v>47</v>
      </c>
      <c r="P283" s="137">
        <f>O283*H283</f>
        <v>0</v>
      </c>
      <c r="Q283" s="137">
        <v>0.262</v>
      </c>
      <c r="R283" s="137">
        <f>Q283*H283</f>
        <v>1.31</v>
      </c>
      <c r="S283" s="137">
        <v>0</v>
      </c>
      <c r="T283" s="138">
        <f>S283*H283</f>
        <v>0</v>
      </c>
      <c r="AR283" s="139" t="s">
        <v>189</v>
      </c>
      <c r="AT283" s="139" t="s">
        <v>410</v>
      </c>
      <c r="AU283" s="139" t="s">
        <v>86</v>
      </c>
      <c r="AY283" s="18" t="s">
        <v>144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8" t="s">
        <v>84</v>
      </c>
      <c r="BK283" s="140">
        <f>ROUND(I283*H283,2)</f>
        <v>0</v>
      </c>
      <c r="BL283" s="18" t="s">
        <v>166</v>
      </c>
      <c r="BM283" s="139" t="s">
        <v>1552</v>
      </c>
    </row>
    <row r="284" spans="2:51" s="12" customFormat="1" ht="12">
      <c r="B284" s="152"/>
      <c r="D284" s="145" t="s">
        <v>249</v>
      </c>
      <c r="E284" s="153" t="s">
        <v>19</v>
      </c>
      <c r="F284" s="154" t="s">
        <v>1553</v>
      </c>
      <c r="H284" s="155">
        <v>5</v>
      </c>
      <c r="I284" s="156"/>
      <c r="L284" s="152"/>
      <c r="M284" s="157"/>
      <c r="T284" s="158"/>
      <c r="AT284" s="153" t="s">
        <v>249</v>
      </c>
      <c r="AU284" s="153" t="s">
        <v>86</v>
      </c>
      <c r="AV284" s="12" t="s">
        <v>86</v>
      </c>
      <c r="AW284" s="12" t="s">
        <v>37</v>
      </c>
      <c r="AX284" s="12" t="s">
        <v>76</v>
      </c>
      <c r="AY284" s="153" t="s">
        <v>144</v>
      </c>
    </row>
    <row r="285" spans="2:51" s="13" customFormat="1" ht="12">
      <c r="B285" s="159"/>
      <c r="D285" s="145" t="s">
        <v>249</v>
      </c>
      <c r="E285" s="160" t="s">
        <v>19</v>
      </c>
      <c r="F285" s="161" t="s">
        <v>251</v>
      </c>
      <c r="H285" s="162">
        <v>5</v>
      </c>
      <c r="I285" s="163"/>
      <c r="L285" s="159"/>
      <c r="M285" s="164"/>
      <c r="T285" s="165"/>
      <c r="AT285" s="160" t="s">
        <v>249</v>
      </c>
      <c r="AU285" s="160" t="s">
        <v>86</v>
      </c>
      <c r="AV285" s="13" t="s">
        <v>166</v>
      </c>
      <c r="AW285" s="13" t="s">
        <v>37</v>
      </c>
      <c r="AX285" s="13" t="s">
        <v>84</v>
      </c>
      <c r="AY285" s="160" t="s">
        <v>144</v>
      </c>
    </row>
    <row r="286" spans="2:65" s="1" customFormat="1" ht="23.7" customHeight="1">
      <c r="B286" s="33"/>
      <c r="C286" s="172" t="s">
        <v>618</v>
      </c>
      <c r="D286" s="172" t="s">
        <v>410</v>
      </c>
      <c r="E286" s="173" t="s">
        <v>1554</v>
      </c>
      <c r="F286" s="174" t="s">
        <v>1555</v>
      </c>
      <c r="G286" s="175" t="s">
        <v>467</v>
      </c>
      <c r="H286" s="176">
        <v>2</v>
      </c>
      <c r="I286" s="177"/>
      <c r="J286" s="178">
        <f aca="true" t="shared" si="0" ref="J286:J291">ROUND(I286*H286,2)</f>
        <v>0</v>
      </c>
      <c r="K286" s="174" t="s">
        <v>19</v>
      </c>
      <c r="L286" s="179"/>
      <c r="M286" s="180" t="s">
        <v>19</v>
      </c>
      <c r="N286" s="181" t="s">
        <v>47</v>
      </c>
      <c r="P286" s="137">
        <f aca="true" t="shared" si="1" ref="P286:P291">O286*H286</f>
        <v>0</v>
      </c>
      <c r="Q286" s="137">
        <v>0.526</v>
      </c>
      <c r="R286" s="137">
        <f aca="true" t="shared" si="2" ref="R286:R291">Q286*H286</f>
        <v>1.052</v>
      </c>
      <c r="S286" s="137">
        <v>0</v>
      </c>
      <c r="T286" s="138">
        <f aca="true" t="shared" si="3" ref="T286:T291">S286*H286</f>
        <v>0</v>
      </c>
      <c r="AR286" s="139" t="s">
        <v>189</v>
      </c>
      <c r="AT286" s="139" t="s">
        <v>410</v>
      </c>
      <c r="AU286" s="139" t="s">
        <v>86</v>
      </c>
      <c r="AY286" s="18" t="s">
        <v>144</v>
      </c>
      <c r="BE286" s="140">
        <f aca="true" t="shared" si="4" ref="BE286:BE291">IF(N286="základní",J286,0)</f>
        <v>0</v>
      </c>
      <c r="BF286" s="140">
        <f aca="true" t="shared" si="5" ref="BF286:BF291">IF(N286="snížená",J286,0)</f>
        <v>0</v>
      </c>
      <c r="BG286" s="140">
        <f aca="true" t="shared" si="6" ref="BG286:BG291">IF(N286="zákl. přenesená",J286,0)</f>
        <v>0</v>
      </c>
      <c r="BH286" s="140">
        <f aca="true" t="shared" si="7" ref="BH286:BH291">IF(N286="sníž. přenesená",J286,0)</f>
        <v>0</v>
      </c>
      <c r="BI286" s="140">
        <f aca="true" t="shared" si="8" ref="BI286:BI291">IF(N286="nulová",J286,0)</f>
        <v>0</v>
      </c>
      <c r="BJ286" s="18" t="s">
        <v>84</v>
      </c>
      <c r="BK286" s="140">
        <f aca="true" t="shared" si="9" ref="BK286:BK291">ROUND(I286*H286,2)</f>
        <v>0</v>
      </c>
      <c r="BL286" s="18" t="s">
        <v>166</v>
      </c>
      <c r="BM286" s="139" t="s">
        <v>1556</v>
      </c>
    </row>
    <row r="287" spans="2:65" s="1" customFormat="1" ht="23.7" customHeight="1">
      <c r="B287" s="33"/>
      <c r="C287" s="172" t="s">
        <v>622</v>
      </c>
      <c r="D287" s="172" t="s">
        <v>410</v>
      </c>
      <c r="E287" s="173" t="s">
        <v>1557</v>
      </c>
      <c r="F287" s="174" t="s">
        <v>1558</v>
      </c>
      <c r="G287" s="175" t="s">
        <v>467</v>
      </c>
      <c r="H287" s="176">
        <v>1</v>
      </c>
      <c r="I287" s="177"/>
      <c r="J287" s="178">
        <f t="shared" si="0"/>
        <v>0</v>
      </c>
      <c r="K287" s="174" t="s">
        <v>19</v>
      </c>
      <c r="L287" s="179"/>
      <c r="M287" s="180" t="s">
        <v>19</v>
      </c>
      <c r="N287" s="181" t="s">
        <v>47</v>
      </c>
      <c r="P287" s="137">
        <f t="shared" si="1"/>
        <v>0</v>
      </c>
      <c r="Q287" s="137">
        <v>1.013</v>
      </c>
      <c r="R287" s="137">
        <f t="shared" si="2"/>
        <v>1.013</v>
      </c>
      <c r="S287" s="137">
        <v>0</v>
      </c>
      <c r="T287" s="138">
        <f t="shared" si="3"/>
        <v>0</v>
      </c>
      <c r="AR287" s="139" t="s">
        <v>189</v>
      </c>
      <c r="AT287" s="139" t="s">
        <v>410</v>
      </c>
      <c r="AU287" s="139" t="s">
        <v>86</v>
      </c>
      <c r="AY287" s="18" t="s">
        <v>144</v>
      </c>
      <c r="BE287" s="140">
        <f t="shared" si="4"/>
        <v>0</v>
      </c>
      <c r="BF287" s="140">
        <f t="shared" si="5"/>
        <v>0</v>
      </c>
      <c r="BG287" s="140">
        <f t="shared" si="6"/>
        <v>0</v>
      </c>
      <c r="BH287" s="140">
        <f t="shared" si="7"/>
        <v>0</v>
      </c>
      <c r="BI287" s="140">
        <f t="shared" si="8"/>
        <v>0</v>
      </c>
      <c r="BJ287" s="18" t="s">
        <v>84</v>
      </c>
      <c r="BK287" s="140">
        <f t="shared" si="9"/>
        <v>0</v>
      </c>
      <c r="BL287" s="18" t="s">
        <v>166</v>
      </c>
      <c r="BM287" s="139" t="s">
        <v>1559</v>
      </c>
    </row>
    <row r="288" spans="2:65" s="1" customFormat="1" ht="23.7" customHeight="1">
      <c r="B288" s="33"/>
      <c r="C288" s="172" t="s">
        <v>627</v>
      </c>
      <c r="D288" s="172" t="s">
        <v>410</v>
      </c>
      <c r="E288" s="173" t="s">
        <v>1560</v>
      </c>
      <c r="F288" s="174" t="s">
        <v>1561</v>
      </c>
      <c r="G288" s="175" t="s">
        <v>467</v>
      </c>
      <c r="H288" s="176">
        <v>4</v>
      </c>
      <c r="I288" s="177"/>
      <c r="J288" s="178">
        <f t="shared" si="0"/>
        <v>0</v>
      </c>
      <c r="K288" s="174" t="s">
        <v>19</v>
      </c>
      <c r="L288" s="179"/>
      <c r="M288" s="180" t="s">
        <v>19</v>
      </c>
      <c r="N288" s="181" t="s">
        <v>47</v>
      </c>
      <c r="P288" s="137">
        <f t="shared" si="1"/>
        <v>0</v>
      </c>
      <c r="Q288" s="137">
        <v>1.87</v>
      </c>
      <c r="R288" s="137">
        <f t="shared" si="2"/>
        <v>7.48</v>
      </c>
      <c r="S288" s="137">
        <v>0</v>
      </c>
      <c r="T288" s="138">
        <f t="shared" si="3"/>
        <v>0</v>
      </c>
      <c r="AR288" s="139" t="s">
        <v>189</v>
      </c>
      <c r="AT288" s="139" t="s">
        <v>410</v>
      </c>
      <c r="AU288" s="139" t="s">
        <v>86</v>
      </c>
      <c r="AY288" s="18" t="s">
        <v>144</v>
      </c>
      <c r="BE288" s="140">
        <f t="shared" si="4"/>
        <v>0</v>
      </c>
      <c r="BF288" s="140">
        <f t="shared" si="5"/>
        <v>0</v>
      </c>
      <c r="BG288" s="140">
        <f t="shared" si="6"/>
        <v>0</v>
      </c>
      <c r="BH288" s="140">
        <f t="shared" si="7"/>
        <v>0</v>
      </c>
      <c r="BI288" s="140">
        <f t="shared" si="8"/>
        <v>0</v>
      </c>
      <c r="BJ288" s="18" t="s">
        <v>84</v>
      </c>
      <c r="BK288" s="140">
        <f t="shared" si="9"/>
        <v>0</v>
      </c>
      <c r="BL288" s="18" t="s">
        <v>166</v>
      </c>
      <c r="BM288" s="139" t="s">
        <v>1562</v>
      </c>
    </row>
    <row r="289" spans="2:65" s="1" customFormat="1" ht="23.7" customHeight="1">
      <c r="B289" s="33"/>
      <c r="C289" s="172" t="s">
        <v>632</v>
      </c>
      <c r="D289" s="172" t="s">
        <v>410</v>
      </c>
      <c r="E289" s="173" t="s">
        <v>1563</v>
      </c>
      <c r="F289" s="174" t="s">
        <v>1564</v>
      </c>
      <c r="G289" s="175" t="s">
        <v>467</v>
      </c>
      <c r="H289" s="176">
        <v>2</v>
      </c>
      <c r="I289" s="177"/>
      <c r="J289" s="178">
        <f t="shared" si="0"/>
        <v>0</v>
      </c>
      <c r="K289" s="174" t="s">
        <v>19</v>
      </c>
      <c r="L289" s="179"/>
      <c r="M289" s="180" t="s">
        <v>19</v>
      </c>
      <c r="N289" s="181" t="s">
        <v>47</v>
      </c>
      <c r="P289" s="137">
        <f t="shared" si="1"/>
        <v>0</v>
      </c>
      <c r="Q289" s="137">
        <v>2.1</v>
      </c>
      <c r="R289" s="137">
        <f t="shared" si="2"/>
        <v>4.2</v>
      </c>
      <c r="S289" s="137">
        <v>0</v>
      </c>
      <c r="T289" s="138">
        <f t="shared" si="3"/>
        <v>0</v>
      </c>
      <c r="AR289" s="139" t="s">
        <v>189</v>
      </c>
      <c r="AT289" s="139" t="s">
        <v>410</v>
      </c>
      <c r="AU289" s="139" t="s">
        <v>86</v>
      </c>
      <c r="AY289" s="18" t="s">
        <v>144</v>
      </c>
      <c r="BE289" s="140">
        <f t="shared" si="4"/>
        <v>0</v>
      </c>
      <c r="BF289" s="140">
        <f t="shared" si="5"/>
        <v>0</v>
      </c>
      <c r="BG289" s="140">
        <f t="shared" si="6"/>
        <v>0</v>
      </c>
      <c r="BH289" s="140">
        <f t="shared" si="7"/>
        <v>0</v>
      </c>
      <c r="BI289" s="140">
        <f t="shared" si="8"/>
        <v>0</v>
      </c>
      <c r="BJ289" s="18" t="s">
        <v>84</v>
      </c>
      <c r="BK289" s="140">
        <f t="shared" si="9"/>
        <v>0</v>
      </c>
      <c r="BL289" s="18" t="s">
        <v>166</v>
      </c>
      <c r="BM289" s="139" t="s">
        <v>1565</v>
      </c>
    </row>
    <row r="290" spans="2:65" s="1" customFormat="1" ht="23.7" customHeight="1">
      <c r="B290" s="33"/>
      <c r="C290" s="172" t="s">
        <v>636</v>
      </c>
      <c r="D290" s="172" t="s">
        <v>410</v>
      </c>
      <c r="E290" s="173" t="s">
        <v>1566</v>
      </c>
      <c r="F290" s="174" t="s">
        <v>1567</v>
      </c>
      <c r="G290" s="175" t="s">
        <v>467</v>
      </c>
      <c r="H290" s="176">
        <v>14</v>
      </c>
      <c r="I290" s="177"/>
      <c r="J290" s="178">
        <f t="shared" si="0"/>
        <v>0</v>
      </c>
      <c r="K290" s="174" t="s">
        <v>19</v>
      </c>
      <c r="L290" s="179"/>
      <c r="M290" s="180" t="s">
        <v>19</v>
      </c>
      <c r="N290" s="181" t="s">
        <v>47</v>
      </c>
      <c r="P290" s="137">
        <f t="shared" si="1"/>
        <v>0</v>
      </c>
      <c r="Q290" s="137">
        <v>0.002</v>
      </c>
      <c r="R290" s="137">
        <f t="shared" si="2"/>
        <v>0.028</v>
      </c>
      <c r="S290" s="137">
        <v>0</v>
      </c>
      <c r="T290" s="138">
        <f t="shared" si="3"/>
        <v>0</v>
      </c>
      <c r="AR290" s="139" t="s">
        <v>189</v>
      </c>
      <c r="AT290" s="139" t="s">
        <v>410</v>
      </c>
      <c r="AU290" s="139" t="s">
        <v>86</v>
      </c>
      <c r="AY290" s="18" t="s">
        <v>144</v>
      </c>
      <c r="BE290" s="140">
        <f t="shared" si="4"/>
        <v>0</v>
      </c>
      <c r="BF290" s="140">
        <f t="shared" si="5"/>
        <v>0</v>
      </c>
      <c r="BG290" s="140">
        <f t="shared" si="6"/>
        <v>0</v>
      </c>
      <c r="BH290" s="140">
        <f t="shared" si="7"/>
        <v>0</v>
      </c>
      <c r="BI290" s="140">
        <f t="shared" si="8"/>
        <v>0</v>
      </c>
      <c r="BJ290" s="18" t="s">
        <v>84</v>
      </c>
      <c r="BK290" s="140">
        <f t="shared" si="9"/>
        <v>0</v>
      </c>
      <c r="BL290" s="18" t="s">
        <v>166</v>
      </c>
      <c r="BM290" s="139" t="s">
        <v>1568</v>
      </c>
    </row>
    <row r="291" spans="2:65" s="1" customFormat="1" ht="36.6" customHeight="1">
      <c r="B291" s="33"/>
      <c r="C291" s="128" t="s">
        <v>640</v>
      </c>
      <c r="D291" s="128" t="s">
        <v>147</v>
      </c>
      <c r="E291" s="129" t="s">
        <v>1569</v>
      </c>
      <c r="F291" s="130" t="s">
        <v>1570</v>
      </c>
      <c r="G291" s="131" t="s">
        <v>467</v>
      </c>
      <c r="H291" s="132">
        <v>2</v>
      </c>
      <c r="I291" s="133"/>
      <c r="J291" s="134">
        <f t="shared" si="0"/>
        <v>0</v>
      </c>
      <c r="K291" s="130" t="s">
        <v>151</v>
      </c>
      <c r="L291" s="33"/>
      <c r="M291" s="135" t="s">
        <v>19</v>
      </c>
      <c r="N291" s="136" t="s">
        <v>47</v>
      </c>
      <c r="P291" s="137">
        <f t="shared" si="1"/>
        <v>0</v>
      </c>
      <c r="Q291" s="137">
        <v>0.108327</v>
      </c>
      <c r="R291" s="137">
        <f t="shared" si="2"/>
        <v>0.216654</v>
      </c>
      <c r="S291" s="137">
        <v>0</v>
      </c>
      <c r="T291" s="138">
        <f t="shared" si="3"/>
        <v>0</v>
      </c>
      <c r="AR291" s="139" t="s">
        <v>166</v>
      </c>
      <c r="AT291" s="139" t="s">
        <v>147</v>
      </c>
      <c r="AU291" s="139" t="s">
        <v>86</v>
      </c>
      <c r="AY291" s="18" t="s">
        <v>144</v>
      </c>
      <c r="BE291" s="140">
        <f t="shared" si="4"/>
        <v>0</v>
      </c>
      <c r="BF291" s="140">
        <f t="shared" si="5"/>
        <v>0</v>
      </c>
      <c r="BG291" s="140">
        <f t="shared" si="6"/>
        <v>0</v>
      </c>
      <c r="BH291" s="140">
        <f t="shared" si="7"/>
        <v>0</v>
      </c>
      <c r="BI291" s="140">
        <f t="shared" si="8"/>
        <v>0</v>
      </c>
      <c r="BJ291" s="18" t="s">
        <v>84</v>
      </c>
      <c r="BK291" s="140">
        <f t="shared" si="9"/>
        <v>0</v>
      </c>
      <c r="BL291" s="18" t="s">
        <v>166</v>
      </c>
      <c r="BM291" s="139" t="s">
        <v>1571</v>
      </c>
    </row>
    <row r="292" spans="2:47" s="1" customFormat="1" ht="12">
      <c r="B292" s="33"/>
      <c r="D292" s="141" t="s">
        <v>154</v>
      </c>
      <c r="F292" s="142" t="s">
        <v>1572</v>
      </c>
      <c r="I292" s="143"/>
      <c r="L292" s="33"/>
      <c r="M292" s="144"/>
      <c r="T292" s="54"/>
      <c r="AT292" s="18" t="s">
        <v>154</v>
      </c>
      <c r="AU292" s="18" t="s">
        <v>86</v>
      </c>
    </row>
    <row r="293" spans="2:65" s="1" customFormat="1" ht="36.6" customHeight="1">
      <c r="B293" s="33"/>
      <c r="C293" s="128" t="s">
        <v>644</v>
      </c>
      <c r="D293" s="128" t="s">
        <v>147</v>
      </c>
      <c r="E293" s="129" t="s">
        <v>1573</v>
      </c>
      <c r="F293" s="130" t="s">
        <v>1574</v>
      </c>
      <c r="G293" s="131" t="s">
        <v>467</v>
      </c>
      <c r="H293" s="132">
        <v>2</v>
      </c>
      <c r="I293" s="133"/>
      <c r="J293" s="134">
        <f>ROUND(I293*H293,2)</f>
        <v>0</v>
      </c>
      <c r="K293" s="130" t="s">
        <v>151</v>
      </c>
      <c r="L293" s="33"/>
      <c r="M293" s="135" t="s">
        <v>19</v>
      </c>
      <c r="N293" s="136" t="s">
        <v>47</v>
      </c>
      <c r="P293" s="137">
        <f>O293*H293</f>
        <v>0</v>
      </c>
      <c r="Q293" s="137">
        <v>0.0363660297</v>
      </c>
      <c r="R293" s="137">
        <f>Q293*H293</f>
        <v>0.0727320594</v>
      </c>
      <c r="S293" s="137">
        <v>0</v>
      </c>
      <c r="T293" s="138">
        <f>S293*H293</f>
        <v>0</v>
      </c>
      <c r="AR293" s="139" t="s">
        <v>166</v>
      </c>
      <c r="AT293" s="139" t="s">
        <v>147</v>
      </c>
      <c r="AU293" s="139" t="s">
        <v>86</v>
      </c>
      <c r="AY293" s="18" t="s">
        <v>144</v>
      </c>
      <c r="BE293" s="140">
        <f>IF(N293="základní",J293,0)</f>
        <v>0</v>
      </c>
      <c r="BF293" s="140">
        <f>IF(N293="snížená",J293,0)</f>
        <v>0</v>
      </c>
      <c r="BG293" s="140">
        <f>IF(N293="zákl. přenesená",J293,0)</f>
        <v>0</v>
      </c>
      <c r="BH293" s="140">
        <f>IF(N293="sníž. přenesená",J293,0)</f>
        <v>0</v>
      </c>
      <c r="BI293" s="140">
        <f>IF(N293="nulová",J293,0)</f>
        <v>0</v>
      </c>
      <c r="BJ293" s="18" t="s">
        <v>84</v>
      </c>
      <c r="BK293" s="140">
        <f>ROUND(I293*H293,2)</f>
        <v>0</v>
      </c>
      <c r="BL293" s="18" t="s">
        <v>166</v>
      </c>
      <c r="BM293" s="139" t="s">
        <v>1575</v>
      </c>
    </row>
    <row r="294" spans="2:47" s="1" customFormat="1" ht="12">
      <c r="B294" s="33"/>
      <c r="D294" s="141" t="s">
        <v>154</v>
      </c>
      <c r="F294" s="142" t="s">
        <v>1576</v>
      </c>
      <c r="I294" s="143"/>
      <c r="L294" s="33"/>
      <c r="M294" s="144"/>
      <c r="T294" s="54"/>
      <c r="AT294" s="18" t="s">
        <v>154</v>
      </c>
      <c r="AU294" s="18" t="s">
        <v>86</v>
      </c>
    </row>
    <row r="295" spans="2:65" s="1" customFormat="1" ht="36.6" customHeight="1">
      <c r="B295" s="33"/>
      <c r="C295" s="128" t="s">
        <v>649</v>
      </c>
      <c r="D295" s="128" t="s">
        <v>147</v>
      </c>
      <c r="E295" s="129" t="s">
        <v>1577</v>
      </c>
      <c r="F295" s="130" t="s">
        <v>1578</v>
      </c>
      <c r="G295" s="131" t="s">
        <v>467</v>
      </c>
      <c r="H295" s="132">
        <v>2</v>
      </c>
      <c r="I295" s="133"/>
      <c r="J295" s="134">
        <f>ROUND(I295*H295,2)</f>
        <v>0</v>
      </c>
      <c r="K295" s="130" t="s">
        <v>151</v>
      </c>
      <c r="L295" s="33"/>
      <c r="M295" s="135" t="s">
        <v>19</v>
      </c>
      <c r="N295" s="136" t="s">
        <v>47</v>
      </c>
      <c r="P295" s="137">
        <f>O295*H295</f>
        <v>0</v>
      </c>
      <c r="Q295" s="137">
        <v>0</v>
      </c>
      <c r="R295" s="137">
        <f>Q295*H295</f>
        <v>0</v>
      </c>
      <c r="S295" s="137">
        <v>0</v>
      </c>
      <c r="T295" s="138">
        <f>S295*H295</f>
        <v>0</v>
      </c>
      <c r="AR295" s="139" t="s">
        <v>166</v>
      </c>
      <c r="AT295" s="139" t="s">
        <v>147</v>
      </c>
      <c r="AU295" s="139" t="s">
        <v>86</v>
      </c>
      <c r="AY295" s="18" t="s">
        <v>144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8" t="s">
        <v>84</v>
      </c>
      <c r="BK295" s="140">
        <f>ROUND(I295*H295,2)</f>
        <v>0</v>
      </c>
      <c r="BL295" s="18" t="s">
        <v>166</v>
      </c>
      <c r="BM295" s="139" t="s">
        <v>1579</v>
      </c>
    </row>
    <row r="296" spans="2:47" s="1" customFormat="1" ht="12">
      <c r="B296" s="33"/>
      <c r="D296" s="141" t="s">
        <v>154</v>
      </c>
      <c r="F296" s="142" t="s">
        <v>1580</v>
      </c>
      <c r="I296" s="143"/>
      <c r="L296" s="33"/>
      <c r="M296" s="144"/>
      <c r="T296" s="54"/>
      <c r="AT296" s="18" t="s">
        <v>154</v>
      </c>
      <c r="AU296" s="18" t="s">
        <v>86</v>
      </c>
    </row>
    <row r="297" spans="2:65" s="1" customFormat="1" ht="36.6" customHeight="1">
      <c r="B297" s="33"/>
      <c r="C297" s="128" t="s">
        <v>653</v>
      </c>
      <c r="D297" s="128" t="s">
        <v>147</v>
      </c>
      <c r="E297" s="129" t="s">
        <v>1581</v>
      </c>
      <c r="F297" s="130" t="s">
        <v>1582</v>
      </c>
      <c r="G297" s="131" t="s">
        <v>467</v>
      </c>
      <c r="H297" s="132">
        <v>2</v>
      </c>
      <c r="I297" s="133"/>
      <c r="J297" s="134">
        <f>ROUND(I297*H297,2)</f>
        <v>0</v>
      </c>
      <c r="K297" s="130" t="s">
        <v>151</v>
      </c>
      <c r="L297" s="33"/>
      <c r="M297" s="135" t="s">
        <v>19</v>
      </c>
      <c r="N297" s="136" t="s">
        <v>47</v>
      </c>
      <c r="P297" s="137">
        <f>O297*H297</f>
        <v>0</v>
      </c>
      <c r="Q297" s="137">
        <v>0.21008</v>
      </c>
      <c r="R297" s="137">
        <f>Q297*H297</f>
        <v>0.42016</v>
      </c>
      <c r="S297" s="137">
        <v>0</v>
      </c>
      <c r="T297" s="138">
        <f>S297*H297</f>
        <v>0</v>
      </c>
      <c r="AR297" s="139" t="s">
        <v>166</v>
      </c>
      <c r="AT297" s="139" t="s">
        <v>147</v>
      </c>
      <c r="AU297" s="139" t="s">
        <v>86</v>
      </c>
      <c r="AY297" s="18" t="s">
        <v>144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8" t="s">
        <v>84</v>
      </c>
      <c r="BK297" s="140">
        <f>ROUND(I297*H297,2)</f>
        <v>0</v>
      </c>
      <c r="BL297" s="18" t="s">
        <v>166</v>
      </c>
      <c r="BM297" s="139" t="s">
        <v>1583</v>
      </c>
    </row>
    <row r="298" spans="2:47" s="1" customFormat="1" ht="12">
      <c r="B298" s="33"/>
      <c r="D298" s="141" t="s">
        <v>154</v>
      </c>
      <c r="F298" s="142" t="s">
        <v>1584</v>
      </c>
      <c r="I298" s="143"/>
      <c r="L298" s="33"/>
      <c r="M298" s="144"/>
      <c r="T298" s="54"/>
      <c r="AT298" s="18" t="s">
        <v>154</v>
      </c>
      <c r="AU298" s="18" t="s">
        <v>86</v>
      </c>
    </row>
    <row r="299" spans="2:65" s="1" customFormat="1" ht="23.7" customHeight="1">
      <c r="B299" s="33"/>
      <c r="C299" s="128" t="s">
        <v>658</v>
      </c>
      <c r="D299" s="128" t="s">
        <v>147</v>
      </c>
      <c r="E299" s="129" t="s">
        <v>645</v>
      </c>
      <c r="F299" s="130" t="s">
        <v>646</v>
      </c>
      <c r="G299" s="131" t="s">
        <v>467</v>
      </c>
      <c r="H299" s="132">
        <v>6</v>
      </c>
      <c r="I299" s="133"/>
      <c r="J299" s="134">
        <f>ROUND(I299*H299,2)</f>
        <v>0</v>
      </c>
      <c r="K299" s="130" t="s">
        <v>151</v>
      </c>
      <c r="L299" s="33"/>
      <c r="M299" s="135" t="s">
        <v>19</v>
      </c>
      <c r="N299" s="136" t="s">
        <v>47</v>
      </c>
      <c r="P299" s="137">
        <f>O299*H299</f>
        <v>0</v>
      </c>
      <c r="Q299" s="137">
        <v>0.125258</v>
      </c>
      <c r="R299" s="137">
        <f>Q299*H299</f>
        <v>0.7515480000000001</v>
      </c>
      <c r="S299" s="137">
        <v>0</v>
      </c>
      <c r="T299" s="138">
        <f>S299*H299</f>
        <v>0</v>
      </c>
      <c r="AR299" s="139" t="s">
        <v>166</v>
      </c>
      <c r="AT299" s="139" t="s">
        <v>147</v>
      </c>
      <c r="AU299" s="139" t="s">
        <v>86</v>
      </c>
      <c r="AY299" s="18" t="s">
        <v>144</v>
      </c>
      <c r="BE299" s="140">
        <f>IF(N299="základní",J299,0)</f>
        <v>0</v>
      </c>
      <c r="BF299" s="140">
        <f>IF(N299="snížená",J299,0)</f>
        <v>0</v>
      </c>
      <c r="BG299" s="140">
        <f>IF(N299="zákl. přenesená",J299,0)</f>
        <v>0</v>
      </c>
      <c r="BH299" s="140">
        <f>IF(N299="sníž. přenesená",J299,0)</f>
        <v>0</v>
      </c>
      <c r="BI299" s="140">
        <f>IF(N299="nulová",J299,0)</f>
        <v>0</v>
      </c>
      <c r="BJ299" s="18" t="s">
        <v>84</v>
      </c>
      <c r="BK299" s="140">
        <f>ROUND(I299*H299,2)</f>
        <v>0</v>
      </c>
      <c r="BL299" s="18" t="s">
        <v>166</v>
      </c>
      <c r="BM299" s="139" t="s">
        <v>1585</v>
      </c>
    </row>
    <row r="300" spans="2:47" s="1" customFormat="1" ht="12">
      <c r="B300" s="33"/>
      <c r="D300" s="141" t="s">
        <v>154</v>
      </c>
      <c r="F300" s="142" t="s">
        <v>648</v>
      </c>
      <c r="I300" s="143"/>
      <c r="L300" s="33"/>
      <c r="M300" s="144"/>
      <c r="T300" s="54"/>
      <c r="AT300" s="18" t="s">
        <v>154</v>
      </c>
      <c r="AU300" s="18" t="s">
        <v>86</v>
      </c>
    </row>
    <row r="301" spans="2:65" s="1" customFormat="1" ht="21.3" customHeight="1">
      <c r="B301" s="33"/>
      <c r="C301" s="172" t="s">
        <v>662</v>
      </c>
      <c r="D301" s="172" t="s">
        <v>410</v>
      </c>
      <c r="E301" s="173" t="s">
        <v>1586</v>
      </c>
      <c r="F301" s="174" t="s">
        <v>1587</v>
      </c>
      <c r="G301" s="175" t="s">
        <v>467</v>
      </c>
      <c r="H301" s="176">
        <v>6</v>
      </c>
      <c r="I301" s="177"/>
      <c r="J301" s="178">
        <f>ROUND(I301*H301,2)</f>
        <v>0</v>
      </c>
      <c r="K301" s="174" t="s">
        <v>151</v>
      </c>
      <c r="L301" s="179"/>
      <c r="M301" s="180" t="s">
        <v>19</v>
      </c>
      <c r="N301" s="181" t="s">
        <v>47</v>
      </c>
      <c r="P301" s="137">
        <f>O301*H301</f>
        <v>0</v>
      </c>
      <c r="Q301" s="137">
        <v>0.175</v>
      </c>
      <c r="R301" s="137">
        <f>Q301*H301</f>
        <v>1.0499999999999998</v>
      </c>
      <c r="S301" s="137">
        <v>0</v>
      </c>
      <c r="T301" s="138">
        <f>S301*H301</f>
        <v>0</v>
      </c>
      <c r="AR301" s="139" t="s">
        <v>189</v>
      </c>
      <c r="AT301" s="139" t="s">
        <v>410</v>
      </c>
      <c r="AU301" s="139" t="s">
        <v>86</v>
      </c>
      <c r="AY301" s="18" t="s">
        <v>144</v>
      </c>
      <c r="BE301" s="140">
        <f>IF(N301="základní",J301,0)</f>
        <v>0</v>
      </c>
      <c r="BF301" s="140">
        <f>IF(N301="snížená",J301,0)</f>
        <v>0</v>
      </c>
      <c r="BG301" s="140">
        <f>IF(N301="zákl. přenesená",J301,0)</f>
        <v>0</v>
      </c>
      <c r="BH301" s="140">
        <f>IF(N301="sníž. přenesená",J301,0)</f>
        <v>0</v>
      </c>
      <c r="BI301" s="140">
        <f>IF(N301="nulová",J301,0)</f>
        <v>0</v>
      </c>
      <c r="BJ301" s="18" t="s">
        <v>84</v>
      </c>
      <c r="BK301" s="140">
        <f>ROUND(I301*H301,2)</f>
        <v>0</v>
      </c>
      <c r="BL301" s="18" t="s">
        <v>166</v>
      </c>
      <c r="BM301" s="139" t="s">
        <v>1588</v>
      </c>
    </row>
    <row r="302" spans="2:65" s="1" customFormat="1" ht="23.7" customHeight="1">
      <c r="B302" s="33"/>
      <c r="C302" s="128" t="s">
        <v>666</v>
      </c>
      <c r="D302" s="128" t="s">
        <v>147</v>
      </c>
      <c r="E302" s="129" t="s">
        <v>654</v>
      </c>
      <c r="F302" s="130" t="s">
        <v>655</v>
      </c>
      <c r="G302" s="131" t="s">
        <v>467</v>
      </c>
      <c r="H302" s="132">
        <v>6</v>
      </c>
      <c r="I302" s="133"/>
      <c r="J302" s="134">
        <f>ROUND(I302*H302,2)</f>
        <v>0</v>
      </c>
      <c r="K302" s="130" t="s">
        <v>151</v>
      </c>
      <c r="L302" s="33"/>
      <c r="M302" s="135" t="s">
        <v>19</v>
      </c>
      <c r="N302" s="136" t="s">
        <v>47</v>
      </c>
      <c r="P302" s="137">
        <f>O302*H302</f>
        <v>0</v>
      </c>
      <c r="Q302" s="137">
        <v>0.030758</v>
      </c>
      <c r="R302" s="137">
        <f>Q302*H302</f>
        <v>0.184548</v>
      </c>
      <c r="S302" s="137">
        <v>0</v>
      </c>
      <c r="T302" s="138">
        <f>S302*H302</f>
        <v>0</v>
      </c>
      <c r="AR302" s="139" t="s">
        <v>166</v>
      </c>
      <c r="AT302" s="139" t="s">
        <v>147</v>
      </c>
      <c r="AU302" s="139" t="s">
        <v>86</v>
      </c>
      <c r="AY302" s="18" t="s">
        <v>144</v>
      </c>
      <c r="BE302" s="140">
        <f>IF(N302="základní",J302,0)</f>
        <v>0</v>
      </c>
      <c r="BF302" s="140">
        <f>IF(N302="snížená",J302,0)</f>
        <v>0</v>
      </c>
      <c r="BG302" s="140">
        <f>IF(N302="zákl. přenesená",J302,0)</f>
        <v>0</v>
      </c>
      <c r="BH302" s="140">
        <f>IF(N302="sníž. přenesená",J302,0)</f>
        <v>0</v>
      </c>
      <c r="BI302" s="140">
        <f>IF(N302="nulová",J302,0)</f>
        <v>0</v>
      </c>
      <c r="BJ302" s="18" t="s">
        <v>84</v>
      </c>
      <c r="BK302" s="140">
        <f>ROUND(I302*H302,2)</f>
        <v>0</v>
      </c>
      <c r="BL302" s="18" t="s">
        <v>166</v>
      </c>
      <c r="BM302" s="139" t="s">
        <v>1589</v>
      </c>
    </row>
    <row r="303" spans="2:47" s="1" customFormat="1" ht="12">
      <c r="B303" s="33"/>
      <c r="D303" s="141" t="s">
        <v>154</v>
      </c>
      <c r="F303" s="142" t="s">
        <v>657</v>
      </c>
      <c r="I303" s="143"/>
      <c r="L303" s="33"/>
      <c r="M303" s="144"/>
      <c r="T303" s="54"/>
      <c r="AT303" s="18" t="s">
        <v>154</v>
      </c>
      <c r="AU303" s="18" t="s">
        <v>86</v>
      </c>
    </row>
    <row r="304" spans="2:65" s="1" customFormat="1" ht="23.7" customHeight="1">
      <c r="B304" s="33"/>
      <c r="C304" s="172" t="s">
        <v>670</v>
      </c>
      <c r="D304" s="172" t="s">
        <v>410</v>
      </c>
      <c r="E304" s="173" t="s">
        <v>1590</v>
      </c>
      <c r="F304" s="174" t="s">
        <v>1591</v>
      </c>
      <c r="G304" s="175" t="s">
        <v>467</v>
      </c>
      <c r="H304" s="176">
        <v>6</v>
      </c>
      <c r="I304" s="177"/>
      <c r="J304" s="178">
        <f>ROUND(I304*H304,2)</f>
        <v>0</v>
      </c>
      <c r="K304" s="174" t="s">
        <v>151</v>
      </c>
      <c r="L304" s="179"/>
      <c r="M304" s="180" t="s">
        <v>19</v>
      </c>
      <c r="N304" s="181" t="s">
        <v>47</v>
      </c>
      <c r="P304" s="137">
        <f>O304*H304</f>
        <v>0</v>
      </c>
      <c r="Q304" s="137">
        <v>0.07</v>
      </c>
      <c r="R304" s="137">
        <f>Q304*H304</f>
        <v>0.42000000000000004</v>
      </c>
      <c r="S304" s="137">
        <v>0</v>
      </c>
      <c r="T304" s="138">
        <f>S304*H304</f>
        <v>0</v>
      </c>
      <c r="AR304" s="139" t="s">
        <v>189</v>
      </c>
      <c r="AT304" s="139" t="s">
        <v>410</v>
      </c>
      <c r="AU304" s="139" t="s">
        <v>86</v>
      </c>
      <c r="AY304" s="18" t="s">
        <v>144</v>
      </c>
      <c r="BE304" s="140">
        <f>IF(N304="základní",J304,0)</f>
        <v>0</v>
      </c>
      <c r="BF304" s="140">
        <f>IF(N304="snížená",J304,0)</f>
        <v>0</v>
      </c>
      <c r="BG304" s="140">
        <f>IF(N304="zákl. přenesená",J304,0)</f>
        <v>0</v>
      </c>
      <c r="BH304" s="140">
        <f>IF(N304="sníž. přenesená",J304,0)</f>
        <v>0</v>
      </c>
      <c r="BI304" s="140">
        <f>IF(N304="nulová",J304,0)</f>
        <v>0</v>
      </c>
      <c r="BJ304" s="18" t="s">
        <v>84</v>
      </c>
      <c r="BK304" s="140">
        <f>ROUND(I304*H304,2)</f>
        <v>0</v>
      </c>
      <c r="BL304" s="18" t="s">
        <v>166</v>
      </c>
      <c r="BM304" s="139" t="s">
        <v>1592</v>
      </c>
    </row>
    <row r="305" spans="2:65" s="1" customFormat="1" ht="23.7" customHeight="1">
      <c r="B305" s="33"/>
      <c r="C305" s="128" t="s">
        <v>676</v>
      </c>
      <c r="D305" s="128" t="s">
        <v>147</v>
      </c>
      <c r="E305" s="129" t="s">
        <v>1593</v>
      </c>
      <c r="F305" s="130" t="s">
        <v>1594</v>
      </c>
      <c r="G305" s="131" t="s">
        <v>467</v>
      </c>
      <c r="H305" s="132">
        <v>6</v>
      </c>
      <c r="I305" s="133"/>
      <c r="J305" s="134">
        <f>ROUND(I305*H305,2)</f>
        <v>0</v>
      </c>
      <c r="K305" s="130" t="s">
        <v>151</v>
      </c>
      <c r="L305" s="33"/>
      <c r="M305" s="135" t="s">
        <v>19</v>
      </c>
      <c r="N305" s="136" t="s">
        <v>47</v>
      </c>
      <c r="P305" s="137">
        <f>O305*H305</f>
        <v>0</v>
      </c>
      <c r="Q305" s="137">
        <v>0.030758</v>
      </c>
      <c r="R305" s="137">
        <f>Q305*H305</f>
        <v>0.184548</v>
      </c>
      <c r="S305" s="137">
        <v>0</v>
      </c>
      <c r="T305" s="138">
        <f>S305*H305</f>
        <v>0</v>
      </c>
      <c r="AR305" s="139" t="s">
        <v>166</v>
      </c>
      <c r="AT305" s="139" t="s">
        <v>147</v>
      </c>
      <c r="AU305" s="139" t="s">
        <v>86</v>
      </c>
      <c r="AY305" s="18" t="s">
        <v>144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8" t="s">
        <v>84</v>
      </c>
      <c r="BK305" s="140">
        <f>ROUND(I305*H305,2)</f>
        <v>0</v>
      </c>
      <c r="BL305" s="18" t="s">
        <v>166</v>
      </c>
      <c r="BM305" s="139" t="s">
        <v>1595</v>
      </c>
    </row>
    <row r="306" spans="2:47" s="1" customFormat="1" ht="12">
      <c r="B306" s="33"/>
      <c r="D306" s="141" t="s">
        <v>154</v>
      </c>
      <c r="F306" s="142" t="s">
        <v>1596</v>
      </c>
      <c r="I306" s="143"/>
      <c r="L306" s="33"/>
      <c r="M306" s="144"/>
      <c r="T306" s="54"/>
      <c r="AT306" s="18" t="s">
        <v>154</v>
      </c>
      <c r="AU306" s="18" t="s">
        <v>86</v>
      </c>
    </row>
    <row r="307" spans="2:65" s="1" customFormat="1" ht="23.7" customHeight="1">
      <c r="B307" s="33"/>
      <c r="C307" s="172" t="s">
        <v>685</v>
      </c>
      <c r="D307" s="172" t="s">
        <v>410</v>
      </c>
      <c r="E307" s="173" t="s">
        <v>1597</v>
      </c>
      <c r="F307" s="174" t="s">
        <v>1598</v>
      </c>
      <c r="G307" s="175" t="s">
        <v>467</v>
      </c>
      <c r="H307" s="176">
        <v>6</v>
      </c>
      <c r="I307" s="177"/>
      <c r="J307" s="178">
        <f>ROUND(I307*H307,2)</f>
        <v>0</v>
      </c>
      <c r="K307" s="174" t="s">
        <v>151</v>
      </c>
      <c r="L307" s="179"/>
      <c r="M307" s="180" t="s">
        <v>19</v>
      </c>
      <c r="N307" s="181" t="s">
        <v>47</v>
      </c>
      <c r="P307" s="137">
        <f>O307*H307</f>
        <v>0</v>
      </c>
      <c r="Q307" s="137">
        <v>0.076</v>
      </c>
      <c r="R307" s="137">
        <f>Q307*H307</f>
        <v>0.45599999999999996</v>
      </c>
      <c r="S307" s="137">
        <v>0</v>
      </c>
      <c r="T307" s="138">
        <f>S307*H307</f>
        <v>0</v>
      </c>
      <c r="AR307" s="139" t="s">
        <v>189</v>
      </c>
      <c r="AT307" s="139" t="s">
        <v>410</v>
      </c>
      <c r="AU307" s="139" t="s">
        <v>86</v>
      </c>
      <c r="AY307" s="18" t="s">
        <v>144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8" t="s">
        <v>84</v>
      </c>
      <c r="BK307" s="140">
        <f>ROUND(I307*H307,2)</f>
        <v>0</v>
      </c>
      <c r="BL307" s="18" t="s">
        <v>166</v>
      </c>
      <c r="BM307" s="139" t="s">
        <v>1599</v>
      </c>
    </row>
    <row r="308" spans="2:65" s="1" customFormat="1" ht="23.7" customHeight="1">
      <c r="B308" s="33"/>
      <c r="C308" s="128" t="s">
        <v>690</v>
      </c>
      <c r="D308" s="128" t="s">
        <v>147</v>
      </c>
      <c r="E308" s="129" t="s">
        <v>1600</v>
      </c>
      <c r="F308" s="130" t="s">
        <v>1601</v>
      </c>
      <c r="G308" s="131" t="s">
        <v>467</v>
      </c>
      <c r="H308" s="132">
        <v>6</v>
      </c>
      <c r="I308" s="133"/>
      <c r="J308" s="134">
        <f>ROUND(I308*H308,2)</f>
        <v>0</v>
      </c>
      <c r="K308" s="130" t="s">
        <v>151</v>
      </c>
      <c r="L308" s="33"/>
      <c r="M308" s="135" t="s">
        <v>19</v>
      </c>
      <c r="N308" s="136" t="s">
        <v>47</v>
      </c>
      <c r="P308" s="137">
        <f>O308*H308</f>
        <v>0</v>
      </c>
      <c r="Q308" s="137">
        <v>0.030758</v>
      </c>
      <c r="R308" s="137">
        <f>Q308*H308</f>
        <v>0.184548</v>
      </c>
      <c r="S308" s="137">
        <v>0</v>
      </c>
      <c r="T308" s="138">
        <f>S308*H308</f>
        <v>0</v>
      </c>
      <c r="AR308" s="139" t="s">
        <v>166</v>
      </c>
      <c r="AT308" s="139" t="s">
        <v>147</v>
      </c>
      <c r="AU308" s="139" t="s">
        <v>86</v>
      </c>
      <c r="AY308" s="18" t="s">
        <v>144</v>
      </c>
      <c r="BE308" s="140">
        <f>IF(N308="základní",J308,0)</f>
        <v>0</v>
      </c>
      <c r="BF308" s="140">
        <f>IF(N308="snížená",J308,0)</f>
        <v>0</v>
      </c>
      <c r="BG308" s="140">
        <f>IF(N308="zákl. přenesená",J308,0)</f>
        <v>0</v>
      </c>
      <c r="BH308" s="140">
        <f>IF(N308="sníž. přenesená",J308,0)</f>
        <v>0</v>
      </c>
      <c r="BI308" s="140">
        <f>IF(N308="nulová",J308,0)</f>
        <v>0</v>
      </c>
      <c r="BJ308" s="18" t="s">
        <v>84</v>
      </c>
      <c r="BK308" s="140">
        <f>ROUND(I308*H308,2)</f>
        <v>0</v>
      </c>
      <c r="BL308" s="18" t="s">
        <v>166</v>
      </c>
      <c r="BM308" s="139" t="s">
        <v>1602</v>
      </c>
    </row>
    <row r="309" spans="2:47" s="1" customFormat="1" ht="12">
      <c r="B309" s="33"/>
      <c r="D309" s="141" t="s">
        <v>154</v>
      </c>
      <c r="F309" s="142" t="s">
        <v>1603</v>
      </c>
      <c r="I309" s="143"/>
      <c r="L309" s="33"/>
      <c r="M309" s="144"/>
      <c r="T309" s="54"/>
      <c r="AT309" s="18" t="s">
        <v>154</v>
      </c>
      <c r="AU309" s="18" t="s">
        <v>86</v>
      </c>
    </row>
    <row r="310" spans="2:65" s="1" customFormat="1" ht="23.7" customHeight="1">
      <c r="B310" s="33"/>
      <c r="C310" s="172" t="s">
        <v>694</v>
      </c>
      <c r="D310" s="172" t="s">
        <v>410</v>
      </c>
      <c r="E310" s="173" t="s">
        <v>1604</v>
      </c>
      <c r="F310" s="174" t="s">
        <v>1605</v>
      </c>
      <c r="G310" s="175" t="s">
        <v>467</v>
      </c>
      <c r="H310" s="176">
        <v>6</v>
      </c>
      <c r="I310" s="177"/>
      <c r="J310" s="178">
        <f>ROUND(I310*H310,2)</f>
        <v>0</v>
      </c>
      <c r="K310" s="174" t="s">
        <v>151</v>
      </c>
      <c r="L310" s="179"/>
      <c r="M310" s="180" t="s">
        <v>19</v>
      </c>
      <c r="N310" s="181" t="s">
        <v>47</v>
      </c>
      <c r="P310" s="137">
        <f>O310*H310</f>
        <v>0</v>
      </c>
      <c r="Q310" s="137">
        <v>0.155</v>
      </c>
      <c r="R310" s="137">
        <f>Q310*H310</f>
        <v>0.9299999999999999</v>
      </c>
      <c r="S310" s="137">
        <v>0</v>
      </c>
      <c r="T310" s="138">
        <f>S310*H310</f>
        <v>0</v>
      </c>
      <c r="AR310" s="139" t="s">
        <v>189</v>
      </c>
      <c r="AT310" s="139" t="s">
        <v>410</v>
      </c>
      <c r="AU310" s="139" t="s">
        <v>86</v>
      </c>
      <c r="AY310" s="18" t="s">
        <v>144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8" t="s">
        <v>84</v>
      </c>
      <c r="BK310" s="140">
        <f>ROUND(I310*H310,2)</f>
        <v>0</v>
      </c>
      <c r="BL310" s="18" t="s">
        <v>166</v>
      </c>
      <c r="BM310" s="139" t="s">
        <v>1606</v>
      </c>
    </row>
    <row r="311" spans="2:65" s="1" customFormat="1" ht="23.7" customHeight="1">
      <c r="B311" s="33"/>
      <c r="C311" s="128" t="s">
        <v>698</v>
      </c>
      <c r="D311" s="128" t="s">
        <v>147</v>
      </c>
      <c r="E311" s="129" t="s">
        <v>1607</v>
      </c>
      <c r="F311" s="130" t="s">
        <v>1608</v>
      </c>
      <c r="G311" s="131" t="s">
        <v>467</v>
      </c>
      <c r="H311" s="132">
        <v>6</v>
      </c>
      <c r="I311" s="133"/>
      <c r="J311" s="134">
        <f>ROUND(I311*H311,2)</f>
        <v>0</v>
      </c>
      <c r="K311" s="130" t="s">
        <v>151</v>
      </c>
      <c r="L311" s="33"/>
      <c r="M311" s="135" t="s">
        <v>19</v>
      </c>
      <c r="N311" s="136" t="s">
        <v>47</v>
      </c>
      <c r="P311" s="137">
        <f>O311*H311</f>
        <v>0</v>
      </c>
      <c r="Q311" s="137">
        <v>0.030758</v>
      </c>
      <c r="R311" s="137">
        <f>Q311*H311</f>
        <v>0.184548</v>
      </c>
      <c r="S311" s="137">
        <v>0</v>
      </c>
      <c r="T311" s="138">
        <f>S311*H311</f>
        <v>0</v>
      </c>
      <c r="AR311" s="139" t="s">
        <v>166</v>
      </c>
      <c r="AT311" s="139" t="s">
        <v>147</v>
      </c>
      <c r="AU311" s="139" t="s">
        <v>86</v>
      </c>
      <c r="AY311" s="18" t="s">
        <v>144</v>
      </c>
      <c r="BE311" s="140">
        <f>IF(N311="základní",J311,0)</f>
        <v>0</v>
      </c>
      <c r="BF311" s="140">
        <f>IF(N311="snížená",J311,0)</f>
        <v>0</v>
      </c>
      <c r="BG311" s="140">
        <f>IF(N311="zákl. přenesená",J311,0)</f>
        <v>0</v>
      </c>
      <c r="BH311" s="140">
        <f>IF(N311="sníž. přenesená",J311,0)</f>
        <v>0</v>
      </c>
      <c r="BI311" s="140">
        <f>IF(N311="nulová",J311,0)</f>
        <v>0</v>
      </c>
      <c r="BJ311" s="18" t="s">
        <v>84</v>
      </c>
      <c r="BK311" s="140">
        <f>ROUND(I311*H311,2)</f>
        <v>0</v>
      </c>
      <c r="BL311" s="18" t="s">
        <v>166</v>
      </c>
      <c r="BM311" s="139" t="s">
        <v>1609</v>
      </c>
    </row>
    <row r="312" spans="2:47" s="1" customFormat="1" ht="12">
      <c r="B312" s="33"/>
      <c r="D312" s="141" t="s">
        <v>154</v>
      </c>
      <c r="F312" s="142" t="s">
        <v>1610</v>
      </c>
      <c r="I312" s="143"/>
      <c r="L312" s="33"/>
      <c r="M312" s="144"/>
      <c r="T312" s="54"/>
      <c r="AT312" s="18" t="s">
        <v>154</v>
      </c>
      <c r="AU312" s="18" t="s">
        <v>86</v>
      </c>
    </row>
    <row r="313" spans="2:65" s="1" customFormat="1" ht="23.7" customHeight="1">
      <c r="B313" s="33"/>
      <c r="C313" s="172" t="s">
        <v>705</v>
      </c>
      <c r="D313" s="172" t="s">
        <v>410</v>
      </c>
      <c r="E313" s="173" t="s">
        <v>1611</v>
      </c>
      <c r="F313" s="174" t="s">
        <v>1612</v>
      </c>
      <c r="G313" s="175" t="s">
        <v>467</v>
      </c>
      <c r="H313" s="176">
        <v>6</v>
      </c>
      <c r="I313" s="177"/>
      <c r="J313" s="178">
        <f>ROUND(I313*H313,2)</f>
        <v>0</v>
      </c>
      <c r="K313" s="174" t="s">
        <v>151</v>
      </c>
      <c r="L313" s="179"/>
      <c r="M313" s="180" t="s">
        <v>19</v>
      </c>
      <c r="N313" s="181" t="s">
        <v>47</v>
      </c>
      <c r="P313" s="137">
        <f>O313*H313</f>
        <v>0</v>
      </c>
      <c r="Q313" s="137">
        <v>0.17</v>
      </c>
      <c r="R313" s="137">
        <f>Q313*H313</f>
        <v>1.02</v>
      </c>
      <c r="S313" s="137">
        <v>0</v>
      </c>
      <c r="T313" s="138">
        <f>S313*H313</f>
        <v>0</v>
      </c>
      <c r="AR313" s="139" t="s">
        <v>189</v>
      </c>
      <c r="AT313" s="139" t="s">
        <v>410</v>
      </c>
      <c r="AU313" s="139" t="s">
        <v>86</v>
      </c>
      <c r="AY313" s="18" t="s">
        <v>144</v>
      </c>
      <c r="BE313" s="140">
        <f>IF(N313="základní",J313,0)</f>
        <v>0</v>
      </c>
      <c r="BF313" s="140">
        <f>IF(N313="snížená",J313,0)</f>
        <v>0</v>
      </c>
      <c r="BG313" s="140">
        <f>IF(N313="zákl. přenesená",J313,0)</f>
        <v>0</v>
      </c>
      <c r="BH313" s="140">
        <f>IF(N313="sníž. přenesená",J313,0)</f>
        <v>0</v>
      </c>
      <c r="BI313" s="140">
        <f>IF(N313="nulová",J313,0)</f>
        <v>0</v>
      </c>
      <c r="BJ313" s="18" t="s">
        <v>84</v>
      </c>
      <c r="BK313" s="140">
        <f>ROUND(I313*H313,2)</f>
        <v>0</v>
      </c>
      <c r="BL313" s="18" t="s">
        <v>166</v>
      </c>
      <c r="BM313" s="139" t="s">
        <v>1613</v>
      </c>
    </row>
    <row r="314" spans="2:65" s="1" customFormat="1" ht="23.7" customHeight="1">
      <c r="B314" s="33"/>
      <c r="C314" s="128" t="s">
        <v>709</v>
      </c>
      <c r="D314" s="128" t="s">
        <v>147</v>
      </c>
      <c r="E314" s="129" t="s">
        <v>1614</v>
      </c>
      <c r="F314" s="130" t="s">
        <v>1615</v>
      </c>
      <c r="G314" s="131" t="s">
        <v>467</v>
      </c>
      <c r="H314" s="132">
        <v>2</v>
      </c>
      <c r="I314" s="133"/>
      <c r="J314" s="134">
        <f>ROUND(I314*H314,2)</f>
        <v>0</v>
      </c>
      <c r="K314" s="130" t="s">
        <v>151</v>
      </c>
      <c r="L314" s="33"/>
      <c r="M314" s="135" t="s">
        <v>19</v>
      </c>
      <c r="N314" s="136" t="s">
        <v>47</v>
      </c>
      <c r="P314" s="137">
        <f>O314*H314</f>
        <v>0</v>
      </c>
      <c r="Q314" s="137">
        <v>0.217338</v>
      </c>
      <c r="R314" s="137">
        <f>Q314*H314</f>
        <v>0.434676</v>
      </c>
      <c r="S314" s="137">
        <v>0</v>
      </c>
      <c r="T314" s="138">
        <f>S314*H314</f>
        <v>0</v>
      </c>
      <c r="AR314" s="139" t="s">
        <v>166</v>
      </c>
      <c r="AT314" s="139" t="s">
        <v>147</v>
      </c>
      <c r="AU314" s="139" t="s">
        <v>86</v>
      </c>
      <c r="AY314" s="18" t="s">
        <v>144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8" t="s">
        <v>84</v>
      </c>
      <c r="BK314" s="140">
        <f>ROUND(I314*H314,2)</f>
        <v>0</v>
      </c>
      <c r="BL314" s="18" t="s">
        <v>166</v>
      </c>
      <c r="BM314" s="139" t="s">
        <v>1616</v>
      </c>
    </row>
    <row r="315" spans="2:47" s="1" customFormat="1" ht="12">
      <c r="B315" s="33"/>
      <c r="D315" s="141" t="s">
        <v>154</v>
      </c>
      <c r="F315" s="142" t="s">
        <v>1617</v>
      </c>
      <c r="I315" s="143"/>
      <c r="L315" s="33"/>
      <c r="M315" s="144"/>
      <c r="T315" s="54"/>
      <c r="AT315" s="18" t="s">
        <v>154</v>
      </c>
      <c r="AU315" s="18" t="s">
        <v>86</v>
      </c>
    </row>
    <row r="316" spans="2:65" s="1" customFormat="1" ht="15" customHeight="1">
      <c r="B316" s="33"/>
      <c r="C316" s="172" t="s">
        <v>715</v>
      </c>
      <c r="D316" s="172" t="s">
        <v>410</v>
      </c>
      <c r="E316" s="173" t="s">
        <v>1618</v>
      </c>
      <c r="F316" s="174" t="s">
        <v>1619</v>
      </c>
      <c r="G316" s="175" t="s">
        <v>467</v>
      </c>
      <c r="H316" s="176">
        <v>2</v>
      </c>
      <c r="I316" s="177"/>
      <c r="J316" s="178">
        <f>ROUND(I316*H316,2)</f>
        <v>0</v>
      </c>
      <c r="K316" s="174" t="s">
        <v>151</v>
      </c>
      <c r="L316" s="179"/>
      <c r="M316" s="180" t="s">
        <v>19</v>
      </c>
      <c r="N316" s="181" t="s">
        <v>47</v>
      </c>
      <c r="P316" s="137">
        <f>O316*H316</f>
        <v>0</v>
      </c>
      <c r="Q316" s="137">
        <v>0.0553</v>
      </c>
      <c r="R316" s="137">
        <f>Q316*H316</f>
        <v>0.1106</v>
      </c>
      <c r="S316" s="137">
        <v>0</v>
      </c>
      <c r="T316" s="138">
        <f>S316*H316</f>
        <v>0</v>
      </c>
      <c r="AR316" s="139" t="s">
        <v>189</v>
      </c>
      <c r="AT316" s="139" t="s">
        <v>410</v>
      </c>
      <c r="AU316" s="139" t="s">
        <v>86</v>
      </c>
      <c r="AY316" s="18" t="s">
        <v>144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8" t="s">
        <v>84</v>
      </c>
      <c r="BK316" s="140">
        <f>ROUND(I316*H316,2)</f>
        <v>0</v>
      </c>
      <c r="BL316" s="18" t="s">
        <v>166</v>
      </c>
      <c r="BM316" s="139" t="s">
        <v>1620</v>
      </c>
    </row>
    <row r="317" spans="2:65" s="1" customFormat="1" ht="23.7" customHeight="1">
      <c r="B317" s="33"/>
      <c r="C317" s="128" t="s">
        <v>721</v>
      </c>
      <c r="D317" s="128" t="s">
        <v>147</v>
      </c>
      <c r="E317" s="129" t="s">
        <v>1621</v>
      </c>
      <c r="F317" s="130" t="s">
        <v>1622</v>
      </c>
      <c r="G317" s="131" t="s">
        <v>467</v>
      </c>
      <c r="H317" s="132">
        <v>7</v>
      </c>
      <c r="I317" s="133"/>
      <c r="J317" s="134">
        <f>ROUND(I317*H317,2)</f>
        <v>0</v>
      </c>
      <c r="K317" s="130" t="s">
        <v>151</v>
      </c>
      <c r="L317" s="33"/>
      <c r="M317" s="135" t="s">
        <v>19</v>
      </c>
      <c r="N317" s="136" t="s">
        <v>47</v>
      </c>
      <c r="P317" s="137">
        <f>O317*H317</f>
        <v>0</v>
      </c>
      <c r="Q317" s="137">
        <v>0.217338</v>
      </c>
      <c r="R317" s="137">
        <f>Q317*H317</f>
        <v>1.521366</v>
      </c>
      <c r="S317" s="137">
        <v>0</v>
      </c>
      <c r="T317" s="138">
        <f>S317*H317</f>
        <v>0</v>
      </c>
      <c r="AR317" s="139" t="s">
        <v>166</v>
      </c>
      <c r="AT317" s="139" t="s">
        <v>147</v>
      </c>
      <c r="AU317" s="139" t="s">
        <v>86</v>
      </c>
      <c r="AY317" s="18" t="s">
        <v>144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8" t="s">
        <v>84</v>
      </c>
      <c r="BK317" s="140">
        <f>ROUND(I317*H317,2)</f>
        <v>0</v>
      </c>
      <c r="BL317" s="18" t="s">
        <v>166</v>
      </c>
      <c r="BM317" s="139" t="s">
        <v>1623</v>
      </c>
    </row>
    <row r="318" spans="2:47" s="1" customFormat="1" ht="12">
      <c r="B318" s="33"/>
      <c r="D318" s="141" t="s">
        <v>154</v>
      </c>
      <c r="F318" s="142" t="s">
        <v>1624</v>
      </c>
      <c r="I318" s="143"/>
      <c r="L318" s="33"/>
      <c r="M318" s="144"/>
      <c r="T318" s="54"/>
      <c r="AT318" s="18" t="s">
        <v>154</v>
      </c>
      <c r="AU318" s="18" t="s">
        <v>86</v>
      </c>
    </row>
    <row r="319" spans="2:65" s="1" customFormat="1" ht="23.7" customHeight="1">
      <c r="B319" s="33"/>
      <c r="C319" s="172" t="s">
        <v>727</v>
      </c>
      <c r="D319" s="172" t="s">
        <v>410</v>
      </c>
      <c r="E319" s="173" t="s">
        <v>1625</v>
      </c>
      <c r="F319" s="174" t="s">
        <v>1626</v>
      </c>
      <c r="G319" s="175" t="s">
        <v>467</v>
      </c>
      <c r="H319" s="176">
        <v>5</v>
      </c>
      <c r="I319" s="177"/>
      <c r="J319" s="178">
        <f>ROUND(I319*H319,2)</f>
        <v>0</v>
      </c>
      <c r="K319" s="174" t="s">
        <v>151</v>
      </c>
      <c r="L319" s="179"/>
      <c r="M319" s="180" t="s">
        <v>19</v>
      </c>
      <c r="N319" s="181" t="s">
        <v>47</v>
      </c>
      <c r="P319" s="137">
        <f>O319*H319</f>
        <v>0</v>
      </c>
      <c r="Q319" s="137">
        <v>0.12</v>
      </c>
      <c r="R319" s="137">
        <f>Q319*H319</f>
        <v>0.6</v>
      </c>
      <c r="S319" s="137">
        <v>0</v>
      </c>
      <c r="T319" s="138">
        <f>S319*H319</f>
        <v>0</v>
      </c>
      <c r="AR319" s="139" t="s">
        <v>189</v>
      </c>
      <c r="AT319" s="139" t="s">
        <v>410</v>
      </c>
      <c r="AU319" s="139" t="s">
        <v>86</v>
      </c>
      <c r="AY319" s="18" t="s">
        <v>144</v>
      </c>
      <c r="BE319" s="140">
        <f>IF(N319="základní",J319,0)</f>
        <v>0</v>
      </c>
      <c r="BF319" s="140">
        <f>IF(N319="snížená",J319,0)</f>
        <v>0</v>
      </c>
      <c r="BG319" s="140">
        <f>IF(N319="zákl. přenesená",J319,0)</f>
        <v>0</v>
      </c>
      <c r="BH319" s="140">
        <f>IF(N319="sníž. přenesená",J319,0)</f>
        <v>0</v>
      </c>
      <c r="BI319" s="140">
        <f>IF(N319="nulová",J319,0)</f>
        <v>0</v>
      </c>
      <c r="BJ319" s="18" t="s">
        <v>84</v>
      </c>
      <c r="BK319" s="140">
        <f>ROUND(I319*H319,2)</f>
        <v>0</v>
      </c>
      <c r="BL319" s="18" t="s">
        <v>166</v>
      </c>
      <c r="BM319" s="139" t="s">
        <v>1627</v>
      </c>
    </row>
    <row r="320" spans="2:65" s="1" customFormat="1" ht="23.7" customHeight="1">
      <c r="B320" s="33"/>
      <c r="C320" s="128" t="s">
        <v>732</v>
      </c>
      <c r="D320" s="128" t="s">
        <v>147</v>
      </c>
      <c r="E320" s="129" t="s">
        <v>1628</v>
      </c>
      <c r="F320" s="130" t="s">
        <v>1629</v>
      </c>
      <c r="G320" s="131" t="s">
        <v>467</v>
      </c>
      <c r="H320" s="132">
        <v>6</v>
      </c>
      <c r="I320" s="133"/>
      <c r="J320" s="134">
        <f>ROUND(I320*H320,2)</f>
        <v>0</v>
      </c>
      <c r="K320" s="130" t="s">
        <v>151</v>
      </c>
      <c r="L320" s="33"/>
      <c r="M320" s="135" t="s">
        <v>19</v>
      </c>
      <c r="N320" s="136" t="s">
        <v>47</v>
      </c>
      <c r="P320" s="137">
        <f>O320*H320</f>
        <v>0</v>
      </c>
      <c r="Q320" s="137">
        <v>0.217338</v>
      </c>
      <c r="R320" s="137">
        <f>Q320*H320</f>
        <v>1.304028</v>
      </c>
      <c r="S320" s="137">
        <v>0</v>
      </c>
      <c r="T320" s="138">
        <f>S320*H320</f>
        <v>0</v>
      </c>
      <c r="AR320" s="139" t="s">
        <v>166</v>
      </c>
      <c r="AT320" s="139" t="s">
        <v>147</v>
      </c>
      <c r="AU320" s="139" t="s">
        <v>86</v>
      </c>
      <c r="AY320" s="18" t="s">
        <v>144</v>
      </c>
      <c r="BE320" s="140">
        <f>IF(N320="základní",J320,0)</f>
        <v>0</v>
      </c>
      <c r="BF320" s="140">
        <f>IF(N320="snížená",J320,0)</f>
        <v>0</v>
      </c>
      <c r="BG320" s="140">
        <f>IF(N320="zákl. přenesená",J320,0)</f>
        <v>0</v>
      </c>
      <c r="BH320" s="140">
        <f>IF(N320="sníž. přenesená",J320,0)</f>
        <v>0</v>
      </c>
      <c r="BI320" s="140">
        <f>IF(N320="nulová",J320,0)</f>
        <v>0</v>
      </c>
      <c r="BJ320" s="18" t="s">
        <v>84</v>
      </c>
      <c r="BK320" s="140">
        <f>ROUND(I320*H320,2)</f>
        <v>0</v>
      </c>
      <c r="BL320" s="18" t="s">
        <v>166</v>
      </c>
      <c r="BM320" s="139" t="s">
        <v>1630</v>
      </c>
    </row>
    <row r="321" spans="2:47" s="1" customFormat="1" ht="12">
      <c r="B321" s="33"/>
      <c r="D321" s="141" t="s">
        <v>154</v>
      </c>
      <c r="F321" s="142" t="s">
        <v>1631</v>
      </c>
      <c r="I321" s="143"/>
      <c r="L321" s="33"/>
      <c r="M321" s="144"/>
      <c r="T321" s="54"/>
      <c r="AT321" s="18" t="s">
        <v>154</v>
      </c>
      <c r="AU321" s="18" t="s">
        <v>86</v>
      </c>
    </row>
    <row r="322" spans="2:65" s="1" customFormat="1" ht="15" customHeight="1">
      <c r="B322" s="33"/>
      <c r="C322" s="172" t="s">
        <v>737</v>
      </c>
      <c r="D322" s="172" t="s">
        <v>410</v>
      </c>
      <c r="E322" s="173" t="s">
        <v>1632</v>
      </c>
      <c r="F322" s="174" t="s">
        <v>1633</v>
      </c>
      <c r="G322" s="175" t="s">
        <v>467</v>
      </c>
      <c r="H322" s="176">
        <v>6</v>
      </c>
      <c r="I322" s="177"/>
      <c r="J322" s="178">
        <f>ROUND(I322*H322,2)</f>
        <v>0</v>
      </c>
      <c r="K322" s="174" t="s">
        <v>151</v>
      </c>
      <c r="L322" s="179"/>
      <c r="M322" s="180" t="s">
        <v>19</v>
      </c>
      <c r="N322" s="181" t="s">
        <v>47</v>
      </c>
      <c r="P322" s="137">
        <f>O322*H322</f>
        <v>0</v>
      </c>
      <c r="Q322" s="137">
        <v>0.06</v>
      </c>
      <c r="R322" s="137">
        <f>Q322*H322</f>
        <v>0.36</v>
      </c>
      <c r="S322" s="137">
        <v>0</v>
      </c>
      <c r="T322" s="138">
        <f>S322*H322</f>
        <v>0</v>
      </c>
      <c r="AR322" s="139" t="s">
        <v>189</v>
      </c>
      <c r="AT322" s="139" t="s">
        <v>410</v>
      </c>
      <c r="AU322" s="139" t="s">
        <v>86</v>
      </c>
      <c r="AY322" s="18" t="s">
        <v>144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8" t="s">
        <v>84</v>
      </c>
      <c r="BK322" s="140">
        <f>ROUND(I322*H322,2)</f>
        <v>0</v>
      </c>
      <c r="BL322" s="18" t="s">
        <v>166</v>
      </c>
      <c r="BM322" s="139" t="s">
        <v>1634</v>
      </c>
    </row>
    <row r="323" spans="2:65" s="1" customFormat="1" ht="31.95" customHeight="1">
      <c r="B323" s="33"/>
      <c r="C323" s="128" t="s">
        <v>742</v>
      </c>
      <c r="D323" s="128" t="s">
        <v>147</v>
      </c>
      <c r="E323" s="129" t="s">
        <v>1635</v>
      </c>
      <c r="F323" s="130" t="s">
        <v>1636</v>
      </c>
      <c r="G323" s="131" t="s">
        <v>467</v>
      </c>
      <c r="H323" s="132">
        <v>9</v>
      </c>
      <c r="I323" s="133"/>
      <c r="J323" s="134">
        <f>ROUND(I323*H323,2)</f>
        <v>0</v>
      </c>
      <c r="K323" s="130" t="s">
        <v>151</v>
      </c>
      <c r="L323" s="33"/>
      <c r="M323" s="135" t="s">
        <v>19</v>
      </c>
      <c r="N323" s="136" t="s">
        <v>47</v>
      </c>
      <c r="P323" s="137">
        <f>O323*H323</f>
        <v>0</v>
      </c>
      <c r="Q323" s="137">
        <v>0.00136</v>
      </c>
      <c r="R323" s="137">
        <f>Q323*H323</f>
        <v>0.012240000000000001</v>
      </c>
      <c r="S323" s="137">
        <v>0</v>
      </c>
      <c r="T323" s="138">
        <f>S323*H323</f>
        <v>0</v>
      </c>
      <c r="AR323" s="139" t="s">
        <v>166</v>
      </c>
      <c r="AT323" s="139" t="s">
        <v>147</v>
      </c>
      <c r="AU323" s="139" t="s">
        <v>86</v>
      </c>
      <c r="AY323" s="18" t="s">
        <v>144</v>
      </c>
      <c r="BE323" s="140">
        <f>IF(N323="základní",J323,0)</f>
        <v>0</v>
      </c>
      <c r="BF323" s="140">
        <f>IF(N323="snížená",J323,0)</f>
        <v>0</v>
      </c>
      <c r="BG323" s="140">
        <f>IF(N323="zákl. přenesená",J323,0)</f>
        <v>0</v>
      </c>
      <c r="BH323" s="140">
        <f>IF(N323="sníž. přenesená",J323,0)</f>
        <v>0</v>
      </c>
      <c r="BI323" s="140">
        <f>IF(N323="nulová",J323,0)</f>
        <v>0</v>
      </c>
      <c r="BJ323" s="18" t="s">
        <v>84</v>
      </c>
      <c r="BK323" s="140">
        <f>ROUND(I323*H323,2)</f>
        <v>0</v>
      </c>
      <c r="BL323" s="18" t="s">
        <v>166</v>
      </c>
      <c r="BM323" s="139" t="s">
        <v>1637</v>
      </c>
    </row>
    <row r="324" spans="2:47" s="1" customFormat="1" ht="12">
      <c r="B324" s="33"/>
      <c r="D324" s="141" t="s">
        <v>154</v>
      </c>
      <c r="F324" s="142" t="s">
        <v>1638</v>
      </c>
      <c r="I324" s="143"/>
      <c r="L324" s="33"/>
      <c r="M324" s="144"/>
      <c r="T324" s="54"/>
      <c r="AT324" s="18" t="s">
        <v>154</v>
      </c>
      <c r="AU324" s="18" t="s">
        <v>86</v>
      </c>
    </row>
    <row r="325" spans="2:65" s="1" customFormat="1" ht="31.95" customHeight="1">
      <c r="B325" s="33"/>
      <c r="C325" s="128" t="s">
        <v>747</v>
      </c>
      <c r="D325" s="128" t="s">
        <v>147</v>
      </c>
      <c r="E325" s="129" t="s">
        <v>1639</v>
      </c>
      <c r="F325" s="130" t="s">
        <v>1640</v>
      </c>
      <c r="G325" s="131" t="s">
        <v>324</v>
      </c>
      <c r="H325" s="132">
        <v>18.7</v>
      </c>
      <c r="I325" s="133"/>
      <c r="J325" s="134">
        <f>ROUND(I325*H325,2)</f>
        <v>0</v>
      </c>
      <c r="K325" s="130" t="s">
        <v>151</v>
      </c>
      <c r="L325" s="33"/>
      <c r="M325" s="135" t="s">
        <v>19</v>
      </c>
      <c r="N325" s="136" t="s">
        <v>47</v>
      </c>
      <c r="P325" s="137">
        <f>O325*H325</f>
        <v>0</v>
      </c>
      <c r="Q325" s="137">
        <v>2.30102</v>
      </c>
      <c r="R325" s="137">
        <f>Q325*H325</f>
        <v>43.029073999999994</v>
      </c>
      <c r="S325" s="137">
        <v>0</v>
      </c>
      <c r="T325" s="138">
        <f>S325*H325</f>
        <v>0</v>
      </c>
      <c r="AR325" s="139" t="s">
        <v>166</v>
      </c>
      <c r="AT325" s="139" t="s">
        <v>147</v>
      </c>
      <c r="AU325" s="139" t="s">
        <v>86</v>
      </c>
      <c r="AY325" s="18" t="s">
        <v>144</v>
      </c>
      <c r="BE325" s="140">
        <f>IF(N325="základní",J325,0)</f>
        <v>0</v>
      </c>
      <c r="BF325" s="140">
        <f>IF(N325="snížená",J325,0)</f>
        <v>0</v>
      </c>
      <c r="BG325" s="140">
        <f>IF(N325="zákl. přenesená",J325,0)</f>
        <v>0</v>
      </c>
      <c r="BH325" s="140">
        <f>IF(N325="sníž. přenesená",J325,0)</f>
        <v>0</v>
      </c>
      <c r="BI325" s="140">
        <f>IF(N325="nulová",J325,0)</f>
        <v>0</v>
      </c>
      <c r="BJ325" s="18" t="s">
        <v>84</v>
      </c>
      <c r="BK325" s="140">
        <f>ROUND(I325*H325,2)</f>
        <v>0</v>
      </c>
      <c r="BL325" s="18" t="s">
        <v>166</v>
      </c>
      <c r="BM325" s="139" t="s">
        <v>1641</v>
      </c>
    </row>
    <row r="326" spans="2:47" s="1" customFormat="1" ht="12">
      <c r="B326" s="33"/>
      <c r="D326" s="141" t="s">
        <v>154</v>
      </c>
      <c r="F326" s="142" t="s">
        <v>1642</v>
      </c>
      <c r="I326" s="143"/>
      <c r="L326" s="33"/>
      <c r="M326" s="144"/>
      <c r="T326" s="54"/>
      <c r="AT326" s="18" t="s">
        <v>154</v>
      </c>
      <c r="AU326" s="18" t="s">
        <v>86</v>
      </c>
    </row>
    <row r="327" spans="2:51" s="12" customFormat="1" ht="12">
      <c r="B327" s="152"/>
      <c r="D327" s="145" t="s">
        <v>249</v>
      </c>
      <c r="E327" s="153" t="s">
        <v>19</v>
      </c>
      <c r="F327" s="154" t="s">
        <v>1643</v>
      </c>
      <c r="H327" s="155">
        <v>11</v>
      </c>
      <c r="I327" s="156"/>
      <c r="L327" s="152"/>
      <c r="M327" s="157"/>
      <c r="T327" s="158"/>
      <c r="AT327" s="153" t="s">
        <v>249</v>
      </c>
      <c r="AU327" s="153" t="s">
        <v>86</v>
      </c>
      <c r="AV327" s="12" t="s">
        <v>86</v>
      </c>
      <c r="AW327" s="12" t="s">
        <v>37</v>
      </c>
      <c r="AX327" s="12" t="s">
        <v>76</v>
      </c>
      <c r="AY327" s="153" t="s">
        <v>144</v>
      </c>
    </row>
    <row r="328" spans="2:51" s="12" customFormat="1" ht="12">
      <c r="B328" s="152"/>
      <c r="D328" s="145" t="s">
        <v>249</v>
      </c>
      <c r="E328" s="153" t="s">
        <v>19</v>
      </c>
      <c r="F328" s="154" t="s">
        <v>1644</v>
      </c>
      <c r="H328" s="155">
        <v>7.7</v>
      </c>
      <c r="I328" s="156"/>
      <c r="L328" s="152"/>
      <c r="M328" s="157"/>
      <c r="T328" s="158"/>
      <c r="AT328" s="153" t="s">
        <v>249</v>
      </c>
      <c r="AU328" s="153" t="s">
        <v>86</v>
      </c>
      <c r="AV328" s="12" t="s">
        <v>86</v>
      </c>
      <c r="AW328" s="12" t="s">
        <v>37</v>
      </c>
      <c r="AX328" s="12" t="s">
        <v>76</v>
      </c>
      <c r="AY328" s="153" t="s">
        <v>144</v>
      </c>
    </row>
    <row r="329" spans="2:51" s="13" customFormat="1" ht="12">
      <c r="B329" s="159"/>
      <c r="D329" s="145" t="s">
        <v>249</v>
      </c>
      <c r="E329" s="160" t="s">
        <v>19</v>
      </c>
      <c r="F329" s="161" t="s">
        <v>251</v>
      </c>
      <c r="H329" s="162">
        <v>18.7</v>
      </c>
      <c r="I329" s="163"/>
      <c r="L329" s="159"/>
      <c r="M329" s="164"/>
      <c r="T329" s="165"/>
      <c r="AT329" s="160" t="s">
        <v>249</v>
      </c>
      <c r="AU329" s="160" t="s">
        <v>86</v>
      </c>
      <c r="AV329" s="13" t="s">
        <v>166</v>
      </c>
      <c r="AW329" s="13" t="s">
        <v>37</v>
      </c>
      <c r="AX329" s="13" t="s">
        <v>84</v>
      </c>
      <c r="AY329" s="160" t="s">
        <v>144</v>
      </c>
    </row>
    <row r="330" spans="2:65" s="1" customFormat="1" ht="21.3" customHeight="1">
      <c r="B330" s="33"/>
      <c r="C330" s="128" t="s">
        <v>752</v>
      </c>
      <c r="D330" s="128" t="s">
        <v>147</v>
      </c>
      <c r="E330" s="129" t="s">
        <v>1645</v>
      </c>
      <c r="F330" s="130" t="s">
        <v>1646</v>
      </c>
      <c r="G330" s="131" t="s">
        <v>246</v>
      </c>
      <c r="H330" s="132">
        <v>31.125</v>
      </c>
      <c r="I330" s="133"/>
      <c r="J330" s="134">
        <f>ROUND(I330*H330,2)</f>
        <v>0</v>
      </c>
      <c r="K330" s="130" t="s">
        <v>151</v>
      </c>
      <c r="L330" s="33"/>
      <c r="M330" s="135" t="s">
        <v>19</v>
      </c>
      <c r="N330" s="136" t="s">
        <v>47</v>
      </c>
      <c r="P330" s="137">
        <f>O330*H330</f>
        <v>0</v>
      </c>
      <c r="Q330" s="137">
        <v>0.00401814</v>
      </c>
      <c r="R330" s="137">
        <f>Q330*H330</f>
        <v>0.1250646075</v>
      </c>
      <c r="S330" s="137">
        <v>0</v>
      </c>
      <c r="T330" s="138">
        <f>S330*H330</f>
        <v>0</v>
      </c>
      <c r="AR330" s="139" t="s">
        <v>166</v>
      </c>
      <c r="AT330" s="139" t="s">
        <v>147</v>
      </c>
      <c r="AU330" s="139" t="s">
        <v>86</v>
      </c>
      <c r="AY330" s="18" t="s">
        <v>144</v>
      </c>
      <c r="BE330" s="140">
        <f>IF(N330="základní",J330,0)</f>
        <v>0</v>
      </c>
      <c r="BF330" s="140">
        <f>IF(N330="snížená",J330,0)</f>
        <v>0</v>
      </c>
      <c r="BG330" s="140">
        <f>IF(N330="zákl. přenesená",J330,0)</f>
        <v>0</v>
      </c>
      <c r="BH330" s="140">
        <f>IF(N330="sníž. přenesená",J330,0)</f>
        <v>0</v>
      </c>
      <c r="BI330" s="140">
        <f>IF(N330="nulová",J330,0)</f>
        <v>0</v>
      </c>
      <c r="BJ330" s="18" t="s">
        <v>84</v>
      </c>
      <c r="BK330" s="140">
        <f>ROUND(I330*H330,2)</f>
        <v>0</v>
      </c>
      <c r="BL330" s="18" t="s">
        <v>166</v>
      </c>
      <c r="BM330" s="139" t="s">
        <v>1647</v>
      </c>
    </row>
    <row r="331" spans="2:47" s="1" customFormat="1" ht="12">
      <c r="B331" s="33"/>
      <c r="D331" s="141" t="s">
        <v>154</v>
      </c>
      <c r="F331" s="142" t="s">
        <v>1648</v>
      </c>
      <c r="I331" s="143"/>
      <c r="L331" s="33"/>
      <c r="M331" s="144"/>
      <c r="T331" s="54"/>
      <c r="AT331" s="18" t="s">
        <v>154</v>
      </c>
      <c r="AU331" s="18" t="s">
        <v>86</v>
      </c>
    </row>
    <row r="332" spans="2:51" s="12" customFormat="1" ht="12">
      <c r="B332" s="152"/>
      <c r="D332" s="145" t="s">
        <v>249</v>
      </c>
      <c r="E332" s="153" t="s">
        <v>19</v>
      </c>
      <c r="F332" s="154" t="s">
        <v>1649</v>
      </c>
      <c r="H332" s="155">
        <v>17.6</v>
      </c>
      <c r="I332" s="156"/>
      <c r="L332" s="152"/>
      <c r="M332" s="157"/>
      <c r="T332" s="158"/>
      <c r="AT332" s="153" t="s">
        <v>249</v>
      </c>
      <c r="AU332" s="153" t="s">
        <v>86</v>
      </c>
      <c r="AV332" s="12" t="s">
        <v>86</v>
      </c>
      <c r="AW332" s="12" t="s">
        <v>37</v>
      </c>
      <c r="AX332" s="12" t="s">
        <v>76</v>
      </c>
      <c r="AY332" s="153" t="s">
        <v>144</v>
      </c>
    </row>
    <row r="333" spans="2:51" s="12" customFormat="1" ht="12">
      <c r="B333" s="152"/>
      <c r="D333" s="145" t="s">
        <v>249</v>
      </c>
      <c r="E333" s="153" t="s">
        <v>19</v>
      </c>
      <c r="F333" s="154" t="s">
        <v>1650</v>
      </c>
      <c r="H333" s="155">
        <v>13.525</v>
      </c>
      <c r="I333" s="156"/>
      <c r="L333" s="152"/>
      <c r="M333" s="157"/>
      <c r="T333" s="158"/>
      <c r="AT333" s="153" t="s">
        <v>249</v>
      </c>
      <c r="AU333" s="153" t="s">
        <v>86</v>
      </c>
      <c r="AV333" s="12" t="s">
        <v>86</v>
      </c>
      <c r="AW333" s="12" t="s">
        <v>37</v>
      </c>
      <c r="AX333" s="12" t="s">
        <v>76</v>
      </c>
      <c r="AY333" s="153" t="s">
        <v>144</v>
      </c>
    </row>
    <row r="334" spans="2:51" s="13" customFormat="1" ht="12">
      <c r="B334" s="159"/>
      <c r="D334" s="145" t="s">
        <v>249</v>
      </c>
      <c r="E334" s="160" t="s">
        <v>19</v>
      </c>
      <c r="F334" s="161" t="s">
        <v>251</v>
      </c>
      <c r="H334" s="162">
        <v>31.125</v>
      </c>
      <c r="I334" s="163"/>
      <c r="L334" s="159"/>
      <c r="M334" s="164"/>
      <c r="T334" s="165"/>
      <c r="AT334" s="160" t="s">
        <v>249</v>
      </c>
      <c r="AU334" s="160" t="s">
        <v>86</v>
      </c>
      <c r="AV334" s="13" t="s">
        <v>166</v>
      </c>
      <c r="AW334" s="13" t="s">
        <v>37</v>
      </c>
      <c r="AX334" s="13" t="s">
        <v>84</v>
      </c>
      <c r="AY334" s="160" t="s">
        <v>144</v>
      </c>
    </row>
    <row r="335" spans="2:65" s="1" customFormat="1" ht="23.7" customHeight="1">
      <c r="B335" s="33"/>
      <c r="C335" s="128" t="s">
        <v>763</v>
      </c>
      <c r="D335" s="128" t="s">
        <v>147</v>
      </c>
      <c r="E335" s="129" t="s">
        <v>1651</v>
      </c>
      <c r="F335" s="130" t="s">
        <v>1652</v>
      </c>
      <c r="G335" s="131" t="s">
        <v>1280</v>
      </c>
      <c r="H335" s="132">
        <v>152</v>
      </c>
      <c r="I335" s="133"/>
      <c r="J335" s="134">
        <f>ROUND(I335*H335,2)</f>
        <v>0</v>
      </c>
      <c r="K335" s="130" t="s">
        <v>19</v>
      </c>
      <c r="L335" s="33"/>
      <c r="M335" s="135" t="s">
        <v>19</v>
      </c>
      <c r="N335" s="136" t="s">
        <v>47</v>
      </c>
      <c r="P335" s="137">
        <f>O335*H335</f>
        <v>0</v>
      </c>
      <c r="Q335" s="137">
        <v>0</v>
      </c>
      <c r="R335" s="137">
        <f>Q335*H335</f>
        <v>0</v>
      </c>
      <c r="S335" s="137">
        <v>0</v>
      </c>
      <c r="T335" s="138">
        <f>S335*H335</f>
        <v>0</v>
      </c>
      <c r="AR335" s="139" t="s">
        <v>166</v>
      </c>
      <c r="AT335" s="139" t="s">
        <v>147</v>
      </c>
      <c r="AU335" s="139" t="s">
        <v>86</v>
      </c>
      <c r="AY335" s="18" t="s">
        <v>144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8" t="s">
        <v>84</v>
      </c>
      <c r="BK335" s="140">
        <f>ROUND(I335*H335,2)</f>
        <v>0</v>
      </c>
      <c r="BL335" s="18" t="s">
        <v>166</v>
      </c>
      <c r="BM335" s="139" t="s">
        <v>1653</v>
      </c>
    </row>
    <row r="336" spans="2:65" s="1" customFormat="1" ht="23.7" customHeight="1">
      <c r="B336" s="33"/>
      <c r="C336" s="128" t="s">
        <v>768</v>
      </c>
      <c r="D336" s="128" t="s">
        <v>147</v>
      </c>
      <c r="E336" s="129" t="s">
        <v>1654</v>
      </c>
      <c r="F336" s="130" t="s">
        <v>1655</v>
      </c>
      <c r="G336" s="131" t="s">
        <v>150</v>
      </c>
      <c r="H336" s="132">
        <v>6</v>
      </c>
      <c r="I336" s="133"/>
      <c r="J336" s="134">
        <f>ROUND(I336*H336,2)</f>
        <v>0</v>
      </c>
      <c r="K336" s="130" t="s">
        <v>19</v>
      </c>
      <c r="L336" s="33"/>
      <c r="M336" s="135" t="s">
        <v>19</v>
      </c>
      <c r="N336" s="136" t="s">
        <v>47</v>
      </c>
      <c r="P336" s="137">
        <f>O336*H336</f>
        <v>0</v>
      </c>
      <c r="Q336" s="137">
        <v>0</v>
      </c>
      <c r="R336" s="137">
        <f>Q336*H336</f>
        <v>0</v>
      </c>
      <c r="S336" s="137">
        <v>0</v>
      </c>
      <c r="T336" s="138">
        <f>S336*H336</f>
        <v>0</v>
      </c>
      <c r="AR336" s="139" t="s">
        <v>166</v>
      </c>
      <c r="AT336" s="139" t="s">
        <v>147</v>
      </c>
      <c r="AU336" s="139" t="s">
        <v>86</v>
      </c>
      <c r="AY336" s="18" t="s">
        <v>144</v>
      </c>
      <c r="BE336" s="140">
        <f>IF(N336="základní",J336,0)</f>
        <v>0</v>
      </c>
      <c r="BF336" s="140">
        <f>IF(N336="snížená",J336,0)</f>
        <v>0</v>
      </c>
      <c r="BG336" s="140">
        <f>IF(N336="zákl. přenesená",J336,0)</f>
        <v>0</v>
      </c>
      <c r="BH336" s="140">
        <f>IF(N336="sníž. přenesená",J336,0)</f>
        <v>0</v>
      </c>
      <c r="BI336" s="140">
        <f>IF(N336="nulová",J336,0)</f>
        <v>0</v>
      </c>
      <c r="BJ336" s="18" t="s">
        <v>84</v>
      </c>
      <c r="BK336" s="140">
        <f>ROUND(I336*H336,2)</f>
        <v>0</v>
      </c>
      <c r="BL336" s="18" t="s">
        <v>166</v>
      </c>
      <c r="BM336" s="139" t="s">
        <v>1656</v>
      </c>
    </row>
    <row r="337" spans="2:63" s="11" customFormat="1" ht="22.8" customHeight="1">
      <c r="B337" s="116"/>
      <c r="D337" s="117" t="s">
        <v>75</v>
      </c>
      <c r="E337" s="126" t="s">
        <v>930</v>
      </c>
      <c r="F337" s="126" t="s">
        <v>931</v>
      </c>
      <c r="I337" s="119"/>
      <c r="J337" s="127">
        <f>BK337</f>
        <v>0</v>
      </c>
      <c r="L337" s="116"/>
      <c r="M337" s="121"/>
      <c r="P337" s="122">
        <f>SUM(P338:P339)</f>
        <v>0</v>
      </c>
      <c r="R337" s="122">
        <f>SUM(R338:R339)</f>
        <v>0</v>
      </c>
      <c r="T337" s="123">
        <f>SUM(T338:T339)</f>
        <v>0</v>
      </c>
      <c r="AR337" s="117" t="s">
        <v>84</v>
      </c>
      <c r="AT337" s="124" t="s">
        <v>75</v>
      </c>
      <c r="AU337" s="124" t="s">
        <v>84</v>
      </c>
      <c r="AY337" s="117" t="s">
        <v>144</v>
      </c>
      <c r="BK337" s="125">
        <f>SUM(BK338:BK339)</f>
        <v>0</v>
      </c>
    </row>
    <row r="338" spans="2:65" s="1" customFormat="1" ht="47.4" customHeight="1">
      <c r="B338" s="33"/>
      <c r="C338" s="128" t="s">
        <v>775</v>
      </c>
      <c r="D338" s="128" t="s">
        <v>147</v>
      </c>
      <c r="E338" s="129" t="s">
        <v>1657</v>
      </c>
      <c r="F338" s="130" t="s">
        <v>1658</v>
      </c>
      <c r="G338" s="131" t="s">
        <v>413</v>
      </c>
      <c r="H338" s="132">
        <v>1299.075</v>
      </c>
      <c r="I338" s="133"/>
      <c r="J338" s="134">
        <f>ROUND(I338*H338,2)</f>
        <v>0</v>
      </c>
      <c r="K338" s="130" t="s">
        <v>151</v>
      </c>
      <c r="L338" s="33"/>
      <c r="M338" s="135" t="s">
        <v>19</v>
      </c>
      <c r="N338" s="136" t="s">
        <v>47</v>
      </c>
      <c r="P338" s="137">
        <f>O338*H338</f>
        <v>0</v>
      </c>
      <c r="Q338" s="137">
        <v>0</v>
      </c>
      <c r="R338" s="137">
        <f>Q338*H338</f>
        <v>0</v>
      </c>
      <c r="S338" s="137">
        <v>0</v>
      </c>
      <c r="T338" s="138">
        <f>S338*H338</f>
        <v>0</v>
      </c>
      <c r="AR338" s="139" t="s">
        <v>166</v>
      </c>
      <c r="AT338" s="139" t="s">
        <v>147</v>
      </c>
      <c r="AU338" s="139" t="s">
        <v>86</v>
      </c>
      <c r="AY338" s="18" t="s">
        <v>144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8" t="s">
        <v>84</v>
      </c>
      <c r="BK338" s="140">
        <f>ROUND(I338*H338,2)</f>
        <v>0</v>
      </c>
      <c r="BL338" s="18" t="s">
        <v>166</v>
      </c>
      <c r="BM338" s="139" t="s">
        <v>1659</v>
      </c>
    </row>
    <row r="339" spans="2:47" s="1" customFormat="1" ht="12">
      <c r="B339" s="33"/>
      <c r="D339" s="141" t="s">
        <v>154</v>
      </c>
      <c r="F339" s="142" t="s">
        <v>1660</v>
      </c>
      <c r="I339" s="143"/>
      <c r="L339" s="33"/>
      <c r="M339" s="192"/>
      <c r="N339" s="149"/>
      <c r="O339" s="149"/>
      <c r="P339" s="149"/>
      <c r="Q339" s="149"/>
      <c r="R339" s="149"/>
      <c r="S339" s="149"/>
      <c r="T339" s="193"/>
      <c r="AT339" s="18" t="s">
        <v>154</v>
      </c>
      <c r="AU339" s="18" t="s">
        <v>86</v>
      </c>
    </row>
    <row r="340" spans="2:12" s="1" customFormat="1" ht="6.9" customHeight="1"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33"/>
    </row>
  </sheetData>
  <sheetProtection algorithmName="SHA-512" hashValue="IfTqztGZ6yRFXrZLhRfgoPHs19kGkAPcgoqIFLO6NVQ+91y+cmPV0AgjxJtuDm8TnHPigfxYTN6dyBaJRlA8Xw==" saltValue="A8bigjOfVwjykCG5WibEE6ny2M9yIUOdZat5uQT7tpzwTxTzGYszmFkTPnKp6WCu2Tj7L8rTsugTcnm/RCv+rA==" spinCount="100000" sheet="1" objects="1" scenarios="1" formatColumns="0" formatRows="0" autoFilter="0"/>
  <autoFilter ref="C85:K33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115101201"/>
    <hyperlink ref="F92" r:id="rId2" display="https://podminky.urs.cz/item/CS_URS_2022_02/121151105"/>
    <hyperlink ref="F95" r:id="rId3" display="https://podminky.urs.cz/item/CS_URS_2022_02/131251204"/>
    <hyperlink ref="F99" r:id="rId4" display="https://podminky.urs.cz/item/CS_URS_2022_02/132254204"/>
    <hyperlink ref="F104" r:id="rId5" display="https://podminky.urs.cz/item/CS_URS_2022_02/133212821"/>
    <hyperlink ref="F107" r:id="rId6" display="https://podminky.urs.cz/item/CS_URS_2022_02/151201102"/>
    <hyperlink ref="F114" r:id="rId7" display="https://podminky.urs.cz/item/CS_URS_2022_02/151201112"/>
    <hyperlink ref="F117" r:id="rId8" display="https://podminky.urs.cz/item/CS_URS_2022_02/162251102"/>
    <hyperlink ref="F120" r:id="rId9" display="https://podminky.urs.cz/item/CS_URS_2022_02/162751117"/>
    <hyperlink ref="F126" r:id="rId10" display="https://podminky.urs.cz/item/CS_URS_2022_02/162751119"/>
    <hyperlink ref="F129" r:id="rId11" display="https://podminky.urs.cz/item/CS_URS_2022_02/167151101"/>
    <hyperlink ref="F134" r:id="rId12" display="https://podminky.urs.cz/item/CS_URS_2022_02/171201231"/>
    <hyperlink ref="F137" r:id="rId13" display="https://podminky.urs.cz/item/CS_URS_2022_02/174151101"/>
    <hyperlink ref="F149" r:id="rId14" display="https://podminky.urs.cz/item/CS_URS_2022_02/175151101"/>
    <hyperlink ref="F159" r:id="rId15" display="https://podminky.urs.cz/item/CS_URS_2022_02/180405114"/>
    <hyperlink ref="F164" r:id="rId16" display="https://podminky.urs.cz/item/CS_URS_2022_02/181351005"/>
    <hyperlink ref="F168" r:id="rId17" display="https://podminky.urs.cz/item/CS_URS_2022_02/213141111"/>
    <hyperlink ref="F180" r:id="rId18" display="https://podminky.urs.cz/item/CS_URS_2022_02/321311116"/>
    <hyperlink ref="F184" r:id="rId19" display="https://podminky.urs.cz/item/CS_URS_2022_02/451572111"/>
    <hyperlink ref="F193" r:id="rId20" display="https://podminky.urs.cz/item/CS_URS_2022_02/452111111"/>
    <hyperlink ref="F205" r:id="rId21" display="https://podminky.urs.cz/item/CS_URS_2022_02/452112122"/>
    <hyperlink ref="F208" r:id="rId22" display="https://podminky.urs.cz/item/CS_URS_2022_02/452311131"/>
    <hyperlink ref="F214" r:id="rId23" display="https://podminky.urs.cz/item/CS_URS_2022_02/452311161"/>
    <hyperlink ref="F217" r:id="rId24" display="https://podminky.urs.cz/item/CS_URS_2022_02/452312151"/>
    <hyperlink ref="F220" r:id="rId25" display="https://podminky.urs.cz/item/CS_URS_2022_02/452351101"/>
    <hyperlink ref="F223" r:id="rId26" display="https://podminky.urs.cz/item/CS_URS_2022_02/465513228"/>
    <hyperlink ref="F227" r:id="rId27" display="https://podminky.urs.cz/item/CS_URS_2022_02/817374111"/>
    <hyperlink ref="F229" r:id="rId28" display="https://podminky.urs.cz/item/CS_URS_2022_02/822372112"/>
    <hyperlink ref="F235" r:id="rId29" display="https://podminky.urs.cz/item/CS_URS_2022_02/831312121"/>
    <hyperlink ref="F243" r:id="rId30" display="https://podminky.urs.cz/item/CS_URS_2022_02/831352121"/>
    <hyperlink ref="F248" r:id="rId31" display="https://podminky.urs.cz/item/CS_URS_2022_02/837311221"/>
    <hyperlink ref="F256" r:id="rId32" display="https://podminky.urs.cz/item/CS_URS_2022_02/871360310"/>
    <hyperlink ref="F260" r:id="rId33" display="https://podminky.urs.cz/item/CS_URS_2022_02/871370310"/>
    <hyperlink ref="F264" r:id="rId34" display="https://podminky.urs.cz/item/CS_URS_2022_02/892372111"/>
    <hyperlink ref="F266" r:id="rId35" display="https://podminky.urs.cz/item/CS_URS_2022_02/892381111"/>
    <hyperlink ref="F272" r:id="rId36" display="https://podminky.urs.cz/item/CS_URS_2022_02/894201131"/>
    <hyperlink ref="F275" r:id="rId37" display="https://podminky.urs.cz/item/CS_URS_2022_02/894201231"/>
    <hyperlink ref="F278" r:id="rId38" display="https://podminky.urs.cz/item/CS_URS_2022_02/894411221"/>
    <hyperlink ref="F292" r:id="rId39" display="https://podminky.urs.cz/item/CS_URS_2022_02/894812321"/>
    <hyperlink ref="F294" r:id="rId40" display="https://podminky.urs.cz/item/CS_URS_2022_02/894812333"/>
    <hyperlink ref="F296" r:id="rId41" display="https://podminky.urs.cz/item/CS_URS_2022_02/894812339"/>
    <hyperlink ref="F298" r:id="rId42" display="https://podminky.urs.cz/item/CS_URS_2022_02/894812377"/>
    <hyperlink ref="F300" r:id="rId43" display="https://podminky.urs.cz/item/CS_URS_2022_02/895941343"/>
    <hyperlink ref="F303" r:id="rId44" display="https://podminky.urs.cz/item/CS_URS_2022_02/895941351"/>
    <hyperlink ref="F306" r:id="rId45" display="https://podminky.urs.cz/item/CS_URS_2022_02/895941361"/>
    <hyperlink ref="F309" r:id="rId46" display="https://podminky.urs.cz/item/CS_URS_2022_02/895941362"/>
    <hyperlink ref="F312" r:id="rId47" display="https://podminky.urs.cz/item/CS_URS_2022_02/895941366"/>
    <hyperlink ref="F315" r:id="rId48" display="https://podminky.urs.cz/item/CS_URS_2022_02/899103112"/>
    <hyperlink ref="F318" r:id="rId49" display="https://podminky.urs.cz/item/CS_URS_2022_02/899104112"/>
    <hyperlink ref="F321" r:id="rId50" display="https://podminky.urs.cz/item/CS_URS_2022_02/899204112"/>
    <hyperlink ref="F324" r:id="rId51" display="https://podminky.urs.cz/item/CS_URS_2022_02/899501221"/>
    <hyperlink ref="F326" r:id="rId52" display="https://podminky.urs.cz/item/CS_URS_2022_02/899623141"/>
    <hyperlink ref="F331" r:id="rId53" display="https://podminky.urs.cz/item/CS_URS_2022_02/899643111"/>
    <hyperlink ref="F339" r:id="rId54" display="https://podminky.urs.cz/item/CS_URS_2022_02/998274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AT2" s="18" t="s">
        <v>101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89" t="s">
        <v>1661</v>
      </c>
      <c r="F9" s="495"/>
      <c r="G9" s="495"/>
      <c r="H9" s="495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66"/>
      <c r="G18" s="466"/>
      <c r="H18" s="46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71" t="s">
        <v>19</v>
      </c>
      <c r="F27" s="471"/>
      <c r="G27" s="471"/>
      <c r="H27" s="471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ROUND(J82,2)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ROUND((SUM(BE82:BE115)),2)</f>
        <v>0</v>
      </c>
      <c r="I33" s="90">
        <v>0.21</v>
      </c>
      <c r="J33" s="89">
        <f>ROUND(((SUM(BE82:BE115))*I33),2)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ROUND((SUM(BF82:BF115)),2)</f>
        <v>0</v>
      </c>
      <c r="I34" s="90">
        <v>0.15</v>
      </c>
      <c r="J34" s="89">
        <f>ROUND(((SUM(BF82:BF115))*I34),2)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ROUND((SUM(BG82:BG115)),2)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ROUND((SUM(BH82:BH115)),2)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ROUND((SUM(BI82:BI115)),2)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89" t="str">
        <f>E9</f>
        <v>SO 400.3 - Přeložka sdělovacích kabelů UPC</v>
      </c>
      <c r="F50" s="495"/>
      <c r="G50" s="495"/>
      <c r="H50" s="495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J82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J84</f>
        <v>0</v>
      </c>
      <c r="L61" s="104"/>
    </row>
    <row r="62" spans="2:12" s="9" customFormat="1" ht="19.95" customHeight="1">
      <c r="B62" s="104"/>
      <c r="D62" s="105" t="s">
        <v>235</v>
      </c>
      <c r="E62" s="106"/>
      <c r="F62" s="106"/>
      <c r="G62" s="106"/>
      <c r="H62" s="106"/>
      <c r="I62" s="106"/>
      <c r="J62" s="107">
        <f>J110</f>
        <v>0</v>
      </c>
      <c r="L62" s="104"/>
    </row>
    <row r="63" spans="2:12" s="1" customFormat="1" ht="21.75" customHeight="1">
      <c r="B63" s="33"/>
      <c r="L63" s="33"/>
    </row>
    <row r="64" spans="2:12" s="1" customFormat="1" ht="6.9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" customHeight="1">
      <c r="B69" s="33"/>
      <c r="C69" s="22" t="s">
        <v>129</v>
      </c>
      <c r="L69" s="33"/>
    </row>
    <row r="70" spans="2:12" s="1" customFormat="1" ht="6.9" customHeight="1">
      <c r="B70" s="33"/>
      <c r="L70" s="33"/>
    </row>
    <row r="71" spans="2:12" s="1" customFormat="1" ht="12" customHeight="1">
      <c r="B71" s="33"/>
      <c r="C71" s="28" t="s">
        <v>16</v>
      </c>
      <c r="L71" s="33"/>
    </row>
    <row r="72" spans="2:12" s="1" customFormat="1" ht="27" customHeight="1">
      <c r="B72" s="33"/>
      <c r="E72" s="496" t="str">
        <f>E7</f>
        <v>REGENERACE PANELOVÉHO SÍDLIŠTĚ PRIEVIDZSKÁ - 7.ETAPA</v>
      </c>
      <c r="F72" s="497"/>
      <c r="G72" s="497"/>
      <c r="H72" s="497"/>
      <c r="L72" s="33"/>
    </row>
    <row r="73" spans="2:12" s="1" customFormat="1" ht="12" customHeight="1">
      <c r="B73" s="33"/>
      <c r="C73" s="28" t="s">
        <v>118</v>
      </c>
      <c r="L73" s="33"/>
    </row>
    <row r="74" spans="2:12" s="1" customFormat="1" ht="15" customHeight="1">
      <c r="B74" s="33"/>
      <c r="E74" s="489" t="str">
        <f>E9</f>
        <v>SO 400.3 - Přeložka sdělovacích kabelů UPC</v>
      </c>
      <c r="F74" s="495"/>
      <c r="G74" s="495"/>
      <c r="H74" s="495"/>
      <c r="L74" s="33"/>
    </row>
    <row r="75" spans="2:12" s="1" customFormat="1" ht="6.9" customHeight="1">
      <c r="B75" s="33"/>
      <c r="L75" s="33"/>
    </row>
    <row r="76" spans="2:12" s="1" customFormat="1" ht="12" customHeight="1">
      <c r="B76" s="33"/>
      <c r="C76" s="28" t="s">
        <v>21</v>
      </c>
      <c r="F76" s="26" t="str">
        <f>F12</f>
        <v xml:space="preserve"> </v>
      </c>
      <c r="I76" s="28" t="s">
        <v>23</v>
      </c>
      <c r="J76" s="50" t="str">
        <f>IF(J12="","",J12)</f>
        <v>22. 10. 2022</v>
      </c>
      <c r="L76" s="33"/>
    </row>
    <row r="77" spans="2:12" s="1" customFormat="1" ht="6.9" customHeight="1">
      <c r="B77" s="33"/>
      <c r="L77" s="33"/>
    </row>
    <row r="78" spans="2:12" s="1" customFormat="1" ht="14.85" customHeight="1">
      <c r="B78" s="33"/>
      <c r="C78" s="28" t="s">
        <v>25</v>
      </c>
      <c r="F78" s="26" t="str">
        <f>E15</f>
        <v>Město Šumperk</v>
      </c>
      <c r="I78" s="28" t="s">
        <v>33</v>
      </c>
      <c r="J78" s="31" t="str">
        <f>E21</f>
        <v>Ateliér DPK, s.r.o.</v>
      </c>
      <c r="L78" s="33"/>
    </row>
    <row r="79" spans="2:12" s="1" customFormat="1" ht="14.85" customHeight="1">
      <c r="B79" s="33"/>
      <c r="C79" s="28" t="s">
        <v>31</v>
      </c>
      <c r="F79" s="26" t="str">
        <f>IF(E18="","",E18)</f>
        <v>Vyplň údaj</v>
      </c>
      <c r="I79" s="28" t="s">
        <v>38</v>
      </c>
      <c r="J79" s="31" t="str">
        <f>E24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08"/>
      <c r="C81" s="109" t="s">
        <v>130</v>
      </c>
      <c r="D81" s="110" t="s">
        <v>61</v>
      </c>
      <c r="E81" s="110" t="s">
        <v>57</v>
      </c>
      <c r="F81" s="110" t="s">
        <v>58</v>
      </c>
      <c r="G81" s="110" t="s">
        <v>131</v>
      </c>
      <c r="H81" s="110" t="s">
        <v>132</v>
      </c>
      <c r="I81" s="110" t="s">
        <v>133</v>
      </c>
      <c r="J81" s="110" t="s">
        <v>122</v>
      </c>
      <c r="K81" s="111" t="s">
        <v>134</v>
      </c>
      <c r="L81" s="108"/>
      <c r="M81" s="57" t="s">
        <v>19</v>
      </c>
      <c r="N81" s="58" t="s">
        <v>46</v>
      </c>
      <c r="O81" s="58" t="s">
        <v>135</v>
      </c>
      <c r="P81" s="58" t="s">
        <v>136</v>
      </c>
      <c r="Q81" s="58" t="s">
        <v>137</v>
      </c>
      <c r="R81" s="58" t="s">
        <v>138</v>
      </c>
      <c r="S81" s="58" t="s">
        <v>139</v>
      </c>
      <c r="T81" s="59" t="s">
        <v>140</v>
      </c>
    </row>
    <row r="82" spans="2:63" s="1" customFormat="1" ht="22.8" customHeight="1">
      <c r="B82" s="33"/>
      <c r="C82" s="62" t="s">
        <v>141</v>
      </c>
      <c r="J82" s="112">
        <f>BK82</f>
        <v>0</v>
      </c>
      <c r="L82" s="33"/>
      <c r="M82" s="60"/>
      <c r="N82" s="51"/>
      <c r="O82" s="51"/>
      <c r="P82" s="113">
        <f>P83</f>
        <v>0</v>
      </c>
      <c r="Q82" s="51"/>
      <c r="R82" s="113">
        <f>R83</f>
        <v>67.75114</v>
      </c>
      <c r="S82" s="51"/>
      <c r="T82" s="114">
        <f>T83</f>
        <v>0</v>
      </c>
      <c r="AT82" s="18" t="s">
        <v>75</v>
      </c>
      <c r="AU82" s="18" t="s">
        <v>123</v>
      </c>
      <c r="BK82" s="115">
        <f>BK83</f>
        <v>0</v>
      </c>
    </row>
    <row r="83" spans="2:63" s="11" customFormat="1" ht="25.8" customHeight="1">
      <c r="B83" s="116"/>
      <c r="D83" s="117" t="s">
        <v>75</v>
      </c>
      <c r="E83" s="118" t="s">
        <v>241</v>
      </c>
      <c r="F83" s="118" t="s">
        <v>242</v>
      </c>
      <c r="I83" s="119"/>
      <c r="J83" s="120">
        <f>BK83</f>
        <v>0</v>
      </c>
      <c r="L83" s="116"/>
      <c r="M83" s="121"/>
      <c r="P83" s="122">
        <f>P84+P110</f>
        <v>0</v>
      </c>
      <c r="R83" s="122">
        <f>R84+R110</f>
        <v>67.75114</v>
      </c>
      <c r="T83" s="123">
        <f>T84+T110</f>
        <v>0</v>
      </c>
      <c r="AR83" s="117" t="s">
        <v>84</v>
      </c>
      <c r="AT83" s="124" t="s">
        <v>75</v>
      </c>
      <c r="AU83" s="124" t="s">
        <v>76</v>
      </c>
      <c r="AY83" s="117" t="s">
        <v>144</v>
      </c>
      <c r="BK83" s="125">
        <f>BK84+BK110</f>
        <v>0</v>
      </c>
    </row>
    <row r="84" spans="2:63" s="11" customFormat="1" ht="22.8" customHeight="1">
      <c r="B84" s="116"/>
      <c r="D84" s="117" t="s">
        <v>75</v>
      </c>
      <c r="E84" s="126" t="s">
        <v>84</v>
      </c>
      <c r="F84" s="126" t="s">
        <v>243</v>
      </c>
      <c r="I84" s="119"/>
      <c r="J84" s="127">
        <f>BK84</f>
        <v>0</v>
      </c>
      <c r="L84" s="116"/>
      <c r="M84" s="121"/>
      <c r="P84" s="122">
        <f>SUM(P85:P109)</f>
        <v>0</v>
      </c>
      <c r="R84" s="122">
        <f>SUM(R85:R109)</f>
        <v>67.75</v>
      </c>
      <c r="T84" s="123">
        <f>SUM(T85:T109)</f>
        <v>0</v>
      </c>
      <c r="AR84" s="117" t="s">
        <v>84</v>
      </c>
      <c r="AT84" s="124" t="s">
        <v>75</v>
      </c>
      <c r="AU84" s="124" t="s">
        <v>84</v>
      </c>
      <c r="AY84" s="117" t="s">
        <v>144</v>
      </c>
      <c r="BK84" s="125">
        <f>SUM(BK85:BK109)</f>
        <v>0</v>
      </c>
    </row>
    <row r="85" spans="2:65" s="1" customFormat="1" ht="42.6" customHeight="1">
      <c r="B85" s="33"/>
      <c r="C85" s="128" t="s">
        <v>84</v>
      </c>
      <c r="D85" s="128" t="s">
        <v>147</v>
      </c>
      <c r="E85" s="129" t="s">
        <v>1662</v>
      </c>
      <c r="F85" s="130" t="s">
        <v>1663</v>
      </c>
      <c r="G85" s="131" t="s">
        <v>324</v>
      </c>
      <c r="H85" s="132">
        <v>32.25</v>
      </c>
      <c r="I85" s="133"/>
      <c r="J85" s="134">
        <f>ROUND(I85*H85,2)</f>
        <v>0</v>
      </c>
      <c r="K85" s="130" t="s">
        <v>151</v>
      </c>
      <c r="L85" s="33"/>
      <c r="M85" s="135" t="s">
        <v>19</v>
      </c>
      <c r="N85" s="136" t="s">
        <v>47</v>
      </c>
      <c r="P85" s="137">
        <f>O85*H85</f>
        <v>0</v>
      </c>
      <c r="Q85" s="137">
        <v>0</v>
      </c>
      <c r="R85" s="137">
        <f>Q85*H85</f>
        <v>0</v>
      </c>
      <c r="S85" s="137">
        <v>0</v>
      </c>
      <c r="T85" s="138">
        <f>S85*H85</f>
        <v>0</v>
      </c>
      <c r="AR85" s="139" t="s">
        <v>166</v>
      </c>
      <c r="AT85" s="139" t="s">
        <v>147</v>
      </c>
      <c r="AU85" s="139" t="s">
        <v>86</v>
      </c>
      <c r="AY85" s="18" t="s">
        <v>144</v>
      </c>
      <c r="BE85" s="140">
        <f>IF(N85="základní",J85,0)</f>
        <v>0</v>
      </c>
      <c r="BF85" s="140">
        <f>IF(N85="snížená",J85,0)</f>
        <v>0</v>
      </c>
      <c r="BG85" s="140">
        <f>IF(N85="zákl. přenesená",J85,0)</f>
        <v>0</v>
      </c>
      <c r="BH85" s="140">
        <f>IF(N85="sníž. přenesená",J85,0)</f>
        <v>0</v>
      </c>
      <c r="BI85" s="140">
        <f>IF(N85="nulová",J85,0)</f>
        <v>0</v>
      </c>
      <c r="BJ85" s="18" t="s">
        <v>84</v>
      </c>
      <c r="BK85" s="140">
        <f>ROUND(I85*H85,2)</f>
        <v>0</v>
      </c>
      <c r="BL85" s="18" t="s">
        <v>166</v>
      </c>
      <c r="BM85" s="139" t="s">
        <v>1664</v>
      </c>
    </row>
    <row r="86" spans="2:47" s="1" customFormat="1" ht="12">
      <c r="B86" s="33"/>
      <c r="D86" s="141" t="s">
        <v>154</v>
      </c>
      <c r="F86" s="142" t="s">
        <v>1665</v>
      </c>
      <c r="I86" s="143"/>
      <c r="L86" s="33"/>
      <c r="M86" s="144"/>
      <c r="T86" s="54"/>
      <c r="AT86" s="18" t="s">
        <v>154</v>
      </c>
      <c r="AU86" s="18" t="s">
        <v>86</v>
      </c>
    </row>
    <row r="87" spans="2:51" s="12" customFormat="1" ht="12">
      <c r="B87" s="152"/>
      <c r="D87" s="145" t="s">
        <v>249</v>
      </c>
      <c r="E87" s="153" t="s">
        <v>19</v>
      </c>
      <c r="F87" s="154" t="s">
        <v>1666</v>
      </c>
      <c r="H87" s="155">
        <v>15.75</v>
      </c>
      <c r="I87" s="156"/>
      <c r="L87" s="152"/>
      <c r="M87" s="157"/>
      <c r="T87" s="158"/>
      <c r="AT87" s="153" t="s">
        <v>249</v>
      </c>
      <c r="AU87" s="153" t="s">
        <v>86</v>
      </c>
      <c r="AV87" s="12" t="s">
        <v>86</v>
      </c>
      <c r="AW87" s="12" t="s">
        <v>37</v>
      </c>
      <c r="AX87" s="12" t="s">
        <v>76</v>
      </c>
      <c r="AY87" s="153" t="s">
        <v>144</v>
      </c>
    </row>
    <row r="88" spans="2:51" s="12" customFormat="1" ht="12">
      <c r="B88" s="152"/>
      <c r="D88" s="145" t="s">
        <v>249</v>
      </c>
      <c r="E88" s="153" t="s">
        <v>19</v>
      </c>
      <c r="F88" s="154" t="s">
        <v>1667</v>
      </c>
      <c r="H88" s="155">
        <v>16.5</v>
      </c>
      <c r="I88" s="156"/>
      <c r="L88" s="152"/>
      <c r="M88" s="157"/>
      <c r="T88" s="158"/>
      <c r="AT88" s="153" t="s">
        <v>249</v>
      </c>
      <c r="AU88" s="153" t="s">
        <v>86</v>
      </c>
      <c r="AV88" s="12" t="s">
        <v>86</v>
      </c>
      <c r="AW88" s="12" t="s">
        <v>37</v>
      </c>
      <c r="AX88" s="12" t="s">
        <v>76</v>
      </c>
      <c r="AY88" s="153" t="s">
        <v>144</v>
      </c>
    </row>
    <row r="89" spans="2:51" s="13" customFormat="1" ht="12">
      <c r="B89" s="159"/>
      <c r="D89" s="145" t="s">
        <v>249</v>
      </c>
      <c r="E89" s="160" t="s">
        <v>19</v>
      </c>
      <c r="F89" s="161" t="s">
        <v>251</v>
      </c>
      <c r="H89" s="162">
        <v>32.25</v>
      </c>
      <c r="I89" s="163"/>
      <c r="L89" s="159"/>
      <c r="M89" s="164"/>
      <c r="T89" s="165"/>
      <c r="AT89" s="160" t="s">
        <v>249</v>
      </c>
      <c r="AU89" s="160" t="s">
        <v>86</v>
      </c>
      <c r="AV89" s="13" t="s">
        <v>166</v>
      </c>
      <c r="AW89" s="13" t="s">
        <v>37</v>
      </c>
      <c r="AX89" s="13" t="s">
        <v>84</v>
      </c>
      <c r="AY89" s="160" t="s">
        <v>144</v>
      </c>
    </row>
    <row r="90" spans="2:65" s="1" customFormat="1" ht="60.45" customHeight="1">
      <c r="B90" s="33"/>
      <c r="C90" s="128" t="s">
        <v>86</v>
      </c>
      <c r="D90" s="128" t="s">
        <v>147</v>
      </c>
      <c r="E90" s="129" t="s">
        <v>351</v>
      </c>
      <c r="F90" s="130" t="s">
        <v>352</v>
      </c>
      <c r="G90" s="131" t="s">
        <v>324</v>
      </c>
      <c r="H90" s="132">
        <v>32.25</v>
      </c>
      <c r="I90" s="133"/>
      <c r="J90" s="134">
        <f>ROUND(I90*H90,2)</f>
        <v>0</v>
      </c>
      <c r="K90" s="130" t="s">
        <v>151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166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166</v>
      </c>
      <c r="BM90" s="139" t="s">
        <v>1668</v>
      </c>
    </row>
    <row r="91" spans="2:47" s="1" customFormat="1" ht="12">
      <c r="B91" s="33"/>
      <c r="D91" s="141" t="s">
        <v>154</v>
      </c>
      <c r="F91" s="142" t="s">
        <v>354</v>
      </c>
      <c r="I91" s="143"/>
      <c r="L91" s="33"/>
      <c r="M91" s="144"/>
      <c r="T91" s="54"/>
      <c r="AT91" s="18" t="s">
        <v>154</v>
      </c>
      <c r="AU91" s="18" t="s">
        <v>86</v>
      </c>
    </row>
    <row r="92" spans="2:51" s="12" customFormat="1" ht="20.4">
      <c r="B92" s="152"/>
      <c r="D92" s="145" t="s">
        <v>249</v>
      </c>
      <c r="E92" s="153" t="s">
        <v>19</v>
      </c>
      <c r="F92" s="154" t="s">
        <v>1669</v>
      </c>
      <c r="H92" s="155">
        <v>32.25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51" s="13" customFormat="1" ht="12">
      <c r="B93" s="159"/>
      <c r="D93" s="145" t="s">
        <v>249</v>
      </c>
      <c r="E93" s="160" t="s">
        <v>19</v>
      </c>
      <c r="F93" s="161" t="s">
        <v>251</v>
      </c>
      <c r="H93" s="162">
        <v>32.25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36.6" customHeight="1">
      <c r="B94" s="33"/>
      <c r="C94" s="128" t="s">
        <v>162</v>
      </c>
      <c r="D94" s="128" t="s">
        <v>147</v>
      </c>
      <c r="E94" s="129" t="s">
        <v>390</v>
      </c>
      <c r="F94" s="130" t="s">
        <v>391</v>
      </c>
      <c r="G94" s="131" t="s">
        <v>324</v>
      </c>
      <c r="H94" s="132">
        <v>32.25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1670</v>
      </c>
    </row>
    <row r="95" spans="2:47" s="1" customFormat="1" ht="12">
      <c r="B95" s="33"/>
      <c r="D95" s="141" t="s">
        <v>154</v>
      </c>
      <c r="F95" s="142" t="s">
        <v>393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47" s="1" customFormat="1" ht="28.8">
      <c r="B96" s="33"/>
      <c r="D96" s="145" t="s">
        <v>156</v>
      </c>
      <c r="F96" s="146" t="s">
        <v>1671</v>
      </c>
      <c r="I96" s="143"/>
      <c r="L96" s="33"/>
      <c r="M96" s="144"/>
      <c r="T96" s="54"/>
      <c r="AT96" s="18" t="s">
        <v>156</v>
      </c>
      <c r="AU96" s="18" t="s">
        <v>86</v>
      </c>
    </row>
    <row r="97" spans="2:65" s="1" customFormat="1" ht="42.6" customHeight="1">
      <c r="B97" s="33"/>
      <c r="C97" s="128" t="s">
        <v>166</v>
      </c>
      <c r="D97" s="128" t="s">
        <v>147</v>
      </c>
      <c r="E97" s="129" t="s">
        <v>398</v>
      </c>
      <c r="F97" s="130" t="s">
        <v>1346</v>
      </c>
      <c r="G97" s="131" t="s">
        <v>324</v>
      </c>
      <c r="H97" s="132">
        <v>24.375</v>
      </c>
      <c r="I97" s="133"/>
      <c r="J97" s="134">
        <f>ROUND(I97*H97,2)</f>
        <v>0</v>
      </c>
      <c r="K97" s="130" t="s">
        <v>151</v>
      </c>
      <c r="L97" s="33"/>
      <c r="M97" s="135" t="s">
        <v>19</v>
      </c>
      <c r="N97" s="136" t="s">
        <v>47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166</v>
      </c>
      <c r="AT97" s="139" t="s">
        <v>147</v>
      </c>
      <c r="AU97" s="139" t="s">
        <v>86</v>
      </c>
      <c r="AY97" s="18" t="s">
        <v>144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84</v>
      </c>
      <c r="BK97" s="140">
        <f>ROUND(I97*H97,2)</f>
        <v>0</v>
      </c>
      <c r="BL97" s="18" t="s">
        <v>166</v>
      </c>
      <c r="BM97" s="139" t="s">
        <v>1672</v>
      </c>
    </row>
    <row r="98" spans="2:47" s="1" customFormat="1" ht="12">
      <c r="B98" s="33"/>
      <c r="D98" s="141" t="s">
        <v>154</v>
      </c>
      <c r="F98" s="142" t="s">
        <v>1348</v>
      </c>
      <c r="I98" s="143"/>
      <c r="L98" s="33"/>
      <c r="M98" s="144"/>
      <c r="T98" s="54"/>
      <c r="AT98" s="18" t="s">
        <v>154</v>
      </c>
      <c r="AU98" s="18" t="s">
        <v>86</v>
      </c>
    </row>
    <row r="99" spans="2:51" s="12" customFormat="1" ht="12">
      <c r="B99" s="152"/>
      <c r="D99" s="145" t="s">
        <v>249</v>
      </c>
      <c r="E99" s="153" t="s">
        <v>19</v>
      </c>
      <c r="F99" s="154" t="s">
        <v>1673</v>
      </c>
      <c r="H99" s="155">
        <v>15.75</v>
      </c>
      <c r="I99" s="156"/>
      <c r="L99" s="152"/>
      <c r="M99" s="157"/>
      <c r="T99" s="158"/>
      <c r="AT99" s="153" t="s">
        <v>249</v>
      </c>
      <c r="AU99" s="153" t="s">
        <v>86</v>
      </c>
      <c r="AV99" s="12" t="s">
        <v>86</v>
      </c>
      <c r="AW99" s="12" t="s">
        <v>37</v>
      </c>
      <c r="AX99" s="12" t="s">
        <v>76</v>
      </c>
      <c r="AY99" s="153" t="s">
        <v>144</v>
      </c>
    </row>
    <row r="100" spans="2:51" s="12" customFormat="1" ht="12">
      <c r="B100" s="152"/>
      <c r="D100" s="145" t="s">
        <v>249</v>
      </c>
      <c r="E100" s="153" t="s">
        <v>19</v>
      </c>
      <c r="F100" s="154" t="s">
        <v>1674</v>
      </c>
      <c r="H100" s="155">
        <v>16.5</v>
      </c>
      <c r="I100" s="156"/>
      <c r="L100" s="152"/>
      <c r="M100" s="157"/>
      <c r="T100" s="158"/>
      <c r="AT100" s="153" t="s">
        <v>249</v>
      </c>
      <c r="AU100" s="153" t="s">
        <v>86</v>
      </c>
      <c r="AV100" s="12" t="s">
        <v>86</v>
      </c>
      <c r="AW100" s="12" t="s">
        <v>37</v>
      </c>
      <c r="AX100" s="12" t="s">
        <v>76</v>
      </c>
      <c r="AY100" s="153" t="s">
        <v>144</v>
      </c>
    </row>
    <row r="101" spans="2:51" s="12" customFormat="1" ht="12">
      <c r="B101" s="152"/>
      <c r="D101" s="145" t="s">
        <v>249</v>
      </c>
      <c r="E101" s="153" t="s">
        <v>19</v>
      </c>
      <c r="F101" s="154" t="s">
        <v>1675</v>
      </c>
      <c r="H101" s="155">
        <v>-7.875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3" customFormat="1" ht="12">
      <c r="B102" s="159"/>
      <c r="D102" s="145" t="s">
        <v>249</v>
      </c>
      <c r="E102" s="160" t="s">
        <v>19</v>
      </c>
      <c r="F102" s="161" t="s">
        <v>251</v>
      </c>
      <c r="H102" s="162">
        <v>24.375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15" customHeight="1">
      <c r="B103" s="33"/>
      <c r="C103" s="172" t="s">
        <v>143</v>
      </c>
      <c r="D103" s="172" t="s">
        <v>410</v>
      </c>
      <c r="E103" s="173" t="s">
        <v>1676</v>
      </c>
      <c r="F103" s="174" t="s">
        <v>1677</v>
      </c>
      <c r="G103" s="175" t="s">
        <v>413</v>
      </c>
      <c r="H103" s="176">
        <v>48.75</v>
      </c>
      <c r="I103" s="177"/>
      <c r="J103" s="178">
        <f>ROUND(I103*H103,2)</f>
        <v>0</v>
      </c>
      <c r="K103" s="174" t="s">
        <v>151</v>
      </c>
      <c r="L103" s="179"/>
      <c r="M103" s="180" t="s">
        <v>19</v>
      </c>
      <c r="N103" s="181" t="s">
        <v>47</v>
      </c>
      <c r="P103" s="137">
        <f>O103*H103</f>
        <v>0</v>
      </c>
      <c r="Q103" s="137">
        <v>1</v>
      </c>
      <c r="R103" s="137">
        <f>Q103*H103</f>
        <v>48.75</v>
      </c>
      <c r="S103" s="137">
        <v>0</v>
      </c>
      <c r="T103" s="138">
        <f>S103*H103</f>
        <v>0</v>
      </c>
      <c r="AR103" s="139" t="s">
        <v>189</v>
      </c>
      <c r="AT103" s="139" t="s">
        <v>410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1678</v>
      </c>
    </row>
    <row r="104" spans="2:51" s="12" customFormat="1" ht="12">
      <c r="B104" s="152"/>
      <c r="D104" s="145" t="s">
        <v>249</v>
      </c>
      <c r="F104" s="154" t="s">
        <v>1679</v>
      </c>
      <c r="H104" s="155">
        <v>48.75</v>
      </c>
      <c r="I104" s="156"/>
      <c r="L104" s="152"/>
      <c r="M104" s="157"/>
      <c r="T104" s="158"/>
      <c r="AT104" s="153" t="s">
        <v>249</v>
      </c>
      <c r="AU104" s="153" t="s">
        <v>86</v>
      </c>
      <c r="AV104" s="12" t="s">
        <v>86</v>
      </c>
      <c r="AW104" s="12" t="s">
        <v>4</v>
      </c>
      <c r="AX104" s="12" t="s">
        <v>84</v>
      </c>
      <c r="AY104" s="153" t="s">
        <v>144</v>
      </c>
    </row>
    <row r="105" spans="2:65" s="1" customFormat="1" ht="63.9" customHeight="1">
      <c r="B105" s="33"/>
      <c r="C105" s="128" t="s">
        <v>177</v>
      </c>
      <c r="D105" s="128" t="s">
        <v>147</v>
      </c>
      <c r="E105" s="129" t="s">
        <v>404</v>
      </c>
      <c r="F105" s="130" t="s">
        <v>405</v>
      </c>
      <c r="G105" s="131" t="s">
        <v>324</v>
      </c>
      <c r="H105" s="132">
        <v>9.5</v>
      </c>
      <c r="I105" s="133"/>
      <c r="J105" s="134">
        <f>ROUND(I105*H105,2)</f>
        <v>0</v>
      </c>
      <c r="K105" s="130" t="s">
        <v>151</v>
      </c>
      <c r="L105" s="33"/>
      <c r="M105" s="135" t="s">
        <v>19</v>
      </c>
      <c r="N105" s="136" t="s">
        <v>47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166</v>
      </c>
      <c r="AT105" s="139" t="s">
        <v>147</v>
      </c>
      <c r="AU105" s="139" t="s">
        <v>86</v>
      </c>
      <c r="AY105" s="18" t="s">
        <v>144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84</v>
      </c>
      <c r="BK105" s="140">
        <f>ROUND(I105*H105,2)</f>
        <v>0</v>
      </c>
      <c r="BL105" s="18" t="s">
        <v>166</v>
      </c>
      <c r="BM105" s="139" t="s">
        <v>1680</v>
      </c>
    </row>
    <row r="106" spans="2:47" s="1" customFormat="1" ht="12">
      <c r="B106" s="33"/>
      <c r="D106" s="141" t="s">
        <v>154</v>
      </c>
      <c r="F106" s="142" t="s">
        <v>407</v>
      </c>
      <c r="I106" s="143"/>
      <c r="L106" s="33"/>
      <c r="M106" s="144"/>
      <c r="T106" s="54"/>
      <c r="AT106" s="18" t="s">
        <v>154</v>
      </c>
      <c r="AU106" s="18" t="s">
        <v>86</v>
      </c>
    </row>
    <row r="107" spans="2:51" s="12" customFormat="1" ht="20.4">
      <c r="B107" s="152"/>
      <c r="D107" s="145" t="s">
        <v>249</v>
      </c>
      <c r="E107" s="153" t="s">
        <v>19</v>
      </c>
      <c r="F107" s="154" t="s">
        <v>1681</v>
      </c>
      <c r="H107" s="155">
        <v>9.5</v>
      </c>
      <c r="I107" s="156"/>
      <c r="L107" s="152"/>
      <c r="M107" s="157"/>
      <c r="T107" s="158"/>
      <c r="AT107" s="153" t="s">
        <v>249</v>
      </c>
      <c r="AU107" s="153" t="s">
        <v>86</v>
      </c>
      <c r="AV107" s="12" t="s">
        <v>86</v>
      </c>
      <c r="AW107" s="12" t="s">
        <v>37</v>
      </c>
      <c r="AX107" s="12" t="s">
        <v>84</v>
      </c>
      <c r="AY107" s="153" t="s">
        <v>144</v>
      </c>
    </row>
    <row r="108" spans="2:65" s="1" customFormat="1" ht="15" customHeight="1">
      <c r="B108" s="33"/>
      <c r="C108" s="172" t="s">
        <v>184</v>
      </c>
      <c r="D108" s="172" t="s">
        <v>410</v>
      </c>
      <c r="E108" s="173" t="s">
        <v>1682</v>
      </c>
      <c r="F108" s="174" t="s">
        <v>1683</v>
      </c>
      <c r="G108" s="175" t="s">
        <v>413</v>
      </c>
      <c r="H108" s="176">
        <v>19</v>
      </c>
      <c r="I108" s="177"/>
      <c r="J108" s="178">
        <f>ROUND(I108*H108,2)</f>
        <v>0</v>
      </c>
      <c r="K108" s="174" t="s">
        <v>151</v>
      </c>
      <c r="L108" s="179"/>
      <c r="M108" s="180" t="s">
        <v>19</v>
      </c>
      <c r="N108" s="181" t="s">
        <v>47</v>
      </c>
      <c r="P108" s="137">
        <f>O108*H108</f>
        <v>0</v>
      </c>
      <c r="Q108" s="137">
        <v>1</v>
      </c>
      <c r="R108" s="137">
        <f>Q108*H108</f>
        <v>19</v>
      </c>
      <c r="S108" s="137">
        <v>0</v>
      </c>
      <c r="T108" s="138">
        <f>S108*H108</f>
        <v>0</v>
      </c>
      <c r="AR108" s="139" t="s">
        <v>189</v>
      </c>
      <c r="AT108" s="139" t="s">
        <v>410</v>
      </c>
      <c r="AU108" s="139" t="s">
        <v>86</v>
      </c>
      <c r="AY108" s="18" t="s">
        <v>144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8" t="s">
        <v>84</v>
      </c>
      <c r="BK108" s="140">
        <f>ROUND(I108*H108,2)</f>
        <v>0</v>
      </c>
      <c r="BL108" s="18" t="s">
        <v>166</v>
      </c>
      <c r="BM108" s="139" t="s">
        <v>1684</v>
      </c>
    </row>
    <row r="109" spans="2:51" s="12" customFormat="1" ht="12">
      <c r="B109" s="152"/>
      <c r="D109" s="145" t="s">
        <v>249</v>
      </c>
      <c r="F109" s="154" t="s">
        <v>1685</v>
      </c>
      <c r="H109" s="155">
        <v>19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4</v>
      </c>
      <c r="AX109" s="12" t="s">
        <v>84</v>
      </c>
      <c r="AY109" s="153" t="s">
        <v>144</v>
      </c>
    </row>
    <row r="110" spans="2:63" s="11" customFormat="1" ht="22.8" customHeight="1">
      <c r="B110" s="116"/>
      <c r="D110" s="117" t="s">
        <v>75</v>
      </c>
      <c r="E110" s="126" t="s">
        <v>189</v>
      </c>
      <c r="F110" s="126" t="s">
        <v>602</v>
      </c>
      <c r="I110" s="119"/>
      <c r="J110" s="127">
        <f>BK110</f>
        <v>0</v>
      </c>
      <c r="L110" s="116"/>
      <c r="M110" s="121"/>
      <c r="P110" s="122">
        <f>SUM(P111:P115)</f>
        <v>0</v>
      </c>
      <c r="R110" s="122">
        <f>SUM(R111:R115)</f>
        <v>0.00114</v>
      </c>
      <c r="T110" s="123">
        <f>SUM(T111:T115)</f>
        <v>0</v>
      </c>
      <c r="AR110" s="117" t="s">
        <v>84</v>
      </c>
      <c r="AT110" s="124" t="s">
        <v>75</v>
      </c>
      <c r="AU110" s="124" t="s">
        <v>84</v>
      </c>
      <c r="AY110" s="117" t="s">
        <v>144</v>
      </c>
      <c r="BK110" s="125">
        <f>SUM(BK111:BK115)</f>
        <v>0</v>
      </c>
    </row>
    <row r="111" spans="2:65" s="1" customFormat="1" ht="21.3" customHeight="1">
      <c r="B111" s="33"/>
      <c r="C111" s="128" t="s">
        <v>189</v>
      </c>
      <c r="D111" s="128" t="s">
        <v>147</v>
      </c>
      <c r="E111" s="129" t="s">
        <v>1686</v>
      </c>
      <c r="F111" s="130" t="s">
        <v>1687</v>
      </c>
      <c r="G111" s="131" t="s">
        <v>308</v>
      </c>
      <c r="H111" s="132">
        <v>19</v>
      </c>
      <c r="I111" s="133"/>
      <c r="J111" s="134">
        <f>ROUND(I111*H111,2)</f>
        <v>0</v>
      </c>
      <c r="K111" s="130" t="s">
        <v>151</v>
      </c>
      <c r="L111" s="33"/>
      <c r="M111" s="135" t="s">
        <v>19</v>
      </c>
      <c r="N111" s="136" t="s">
        <v>47</v>
      </c>
      <c r="P111" s="137">
        <f>O111*H111</f>
        <v>0</v>
      </c>
      <c r="Q111" s="137">
        <v>6E-05</v>
      </c>
      <c r="R111" s="137">
        <f>Q111*H111</f>
        <v>0.00114</v>
      </c>
      <c r="S111" s="137">
        <v>0</v>
      </c>
      <c r="T111" s="138">
        <f>S111*H111</f>
        <v>0</v>
      </c>
      <c r="AR111" s="139" t="s">
        <v>166</v>
      </c>
      <c r="AT111" s="139" t="s">
        <v>147</v>
      </c>
      <c r="AU111" s="139" t="s">
        <v>86</v>
      </c>
      <c r="AY111" s="18" t="s">
        <v>144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8" t="s">
        <v>84</v>
      </c>
      <c r="BK111" s="140">
        <f>ROUND(I111*H111,2)</f>
        <v>0</v>
      </c>
      <c r="BL111" s="18" t="s">
        <v>166</v>
      </c>
      <c r="BM111" s="139" t="s">
        <v>1688</v>
      </c>
    </row>
    <row r="112" spans="2:47" s="1" customFormat="1" ht="12">
      <c r="B112" s="33"/>
      <c r="D112" s="141" t="s">
        <v>154</v>
      </c>
      <c r="F112" s="142" t="s">
        <v>1689</v>
      </c>
      <c r="I112" s="143"/>
      <c r="L112" s="33"/>
      <c r="M112" s="144"/>
      <c r="T112" s="54"/>
      <c r="AT112" s="18" t="s">
        <v>154</v>
      </c>
      <c r="AU112" s="18" t="s">
        <v>86</v>
      </c>
    </row>
    <row r="113" spans="2:65" s="1" customFormat="1" ht="15" customHeight="1">
      <c r="B113" s="33"/>
      <c r="C113" s="128" t="s">
        <v>195</v>
      </c>
      <c r="D113" s="128" t="s">
        <v>147</v>
      </c>
      <c r="E113" s="129" t="s">
        <v>1690</v>
      </c>
      <c r="F113" s="130" t="s">
        <v>1691</v>
      </c>
      <c r="G113" s="131" t="s">
        <v>308</v>
      </c>
      <c r="H113" s="132">
        <v>47</v>
      </c>
      <c r="I113" s="133"/>
      <c r="J113" s="134">
        <f>ROUND(I113*H113,2)</f>
        <v>0</v>
      </c>
      <c r="K113" s="130" t="s">
        <v>19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166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166</v>
      </c>
      <c r="BM113" s="139" t="s">
        <v>1692</v>
      </c>
    </row>
    <row r="114" spans="2:51" s="12" customFormat="1" ht="12">
      <c r="B114" s="152"/>
      <c r="D114" s="145" t="s">
        <v>249</v>
      </c>
      <c r="E114" s="153" t="s">
        <v>19</v>
      </c>
      <c r="F114" s="154" t="s">
        <v>1693</v>
      </c>
      <c r="H114" s="155">
        <v>47</v>
      </c>
      <c r="I114" s="156"/>
      <c r="L114" s="152"/>
      <c r="M114" s="157"/>
      <c r="T114" s="158"/>
      <c r="AT114" s="153" t="s">
        <v>249</v>
      </c>
      <c r="AU114" s="153" t="s">
        <v>86</v>
      </c>
      <c r="AV114" s="12" t="s">
        <v>86</v>
      </c>
      <c r="AW114" s="12" t="s">
        <v>37</v>
      </c>
      <c r="AX114" s="12" t="s">
        <v>76</v>
      </c>
      <c r="AY114" s="153" t="s">
        <v>144</v>
      </c>
    </row>
    <row r="115" spans="2:51" s="13" customFormat="1" ht="12">
      <c r="B115" s="159"/>
      <c r="D115" s="145" t="s">
        <v>249</v>
      </c>
      <c r="E115" s="160" t="s">
        <v>19</v>
      </c>
      <c r="F115" s="161" t="s">
        <v>251</v>
      </c>
      <c r="H115" s="162">
        <v>47</v>
      </c>
      <c r="I115" s="163"/>
      <c r="L115" s="159"/>
      <c r="M115" s="189"/>
      <c r="N115" s="190"/>
      <c r="O115" s="190"/>
      <c r="P115" s="190"/>
      <c r="Q115" s="190"/>
      <c r="R115" s="190"/>
      <c r="S115" s="190"/>
      <c r="T115" s="191"/>
      <c r="AT115" s="160" t="s">
        <v>249</v>
      </c>
      <c r="AU115" s="160" t="s">
        <v>86</v>
      </c>
      <c r="AV115" s="13" t="s">
        <v>166</v>
      </c>
      <c r="AW115" s="13" t="s">
        <v>37</v>
      </c>
      <c r="AX115" s="13" t="s">
        <v>84</v>
      </c>
      <c r="AY115" s="160" t="s">
        <v>144</v>
      </c>
    </row>
    <row r="116" spans="2:12" s="1" customFormat="1" ht="6.9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33"/>
    </row>
  </sheetData>
  <sheetProtection algorithmName="SHA-512" hashValue="LURmeJX/oZG1j4lGaQN6gbxUVgmtxRCv5NTVseeTg31lf7pHFgg24il15Iv0tmTAHDGj/CTamNpxQyS/luzD/w==" saltValue="GK5gh+ueJR8K1icZB4SOiNJJ+w6AM/XG4hfwx1TjGxRp0W3mnSBTsIqiiuI+zxt4b19jIbragXR/NKUqjwkJaA==" spinCount="100000" sheet="1" objects="1" scenarios="1" formatColumns="0" formatRows="0" autoFilter="0"/>
  <autoFilter ref="C81:K11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32254104"/>
    <hyperlink ref="F91" r:id="rId2" display="https://podminky.urs.cz/item/CS_URS_2022_02/162351103"/>
    <hyperlink ref="F95" r:id="rId3" display="https://podminky.urs.cz/item/CS_URS_2022_02/171251201"/>
    <hyperlink ref="F98" r:id="rId4" display="https://podminky.urs.cz/item/CS_URS_2022_02/174151101"/>
    <hyperlink ref="F106" r:id="rId5" display="https://podminky.urs.cz/item/CS_URS_2022_02/175151101"/>
    <hyperlink ref="F112" r:id="rId6" display="https://podminky.urs.cz/item/CS_URS_2022_02/899722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57421875" style="0" customWidth="1"/>
    <col min="2" max="2" width="1.1484375" style="0" customWidth="1"/>
    <col min="3" max="3" width="4.28125" style="0" customWidth="1"/>
    <col min="4" max="4" width="4.421875" style="0" customWidth="1"/>
    <col min="5" max="5" width="17.57421875" style="0" customWidth="1"/>
    <col min="6" max="6" width="52.140625" style="0" customWidth="1"/>
    <col min="7" max="7" width="7.7109375" style="0" customWidth="1"/>
    <col min="8" max="8" width="14.28125" style="0" customWidth="1"/>
    <col min="9" max="9" width="16.140625" style="0" customWidth="1"/>
    <col min="10" max="11" width="22.8515625" style="0" customWidth="1"/>
    <col min="12" max="12" width="9.57421875" style="0" customWidth="1"/>
    <col min="13" max="13" width="11.140625" style="0" hidden="1" customWidth="1"/>
    <col min="14" max="14" width="9.140625" style="0" hidden="1" customWidth="1"/>
    <col min="15" max="20" width="14.57421875" style="0" hidden="1" customWidth="1"/>
    <col min="21" max="21" width="16.7109375" style="0" hidden="1" customWidth="1"/>
    <col min="22" max="22" width="12.7109375" style="0" customWidth="1"/>
    <col min="23" max="23" width="16.7109375" style="0" customWidth="1"/>
    <col min="24" max="24" width="12.7109375" style="0" customWidth="1"/>
    <col min="25" max="25" width="15.421875" style="0" customWidth="1"/>
    <col min="26" max="26" width="11.28125" style="0" customWidth="1"/>
    <col min="27" max="27" width="15.421875" style="0" customWidth="1"/>
    <col min="28" max="28" width="16.7109375" style="0" customWidth="1"/>
    <col min="29" max="29" width="11.28125" style="0" customWidth="1"/>
    <col min="30" max="30" width="15.421875" style="0" customWidth="1"/>
    <col min="31" max="31" width="16.7109375" style="0" customWidth="1"/>
    <col min="44" max="65" width="9.140625" style="0" hidden="1" customWidth="1"/>
  </cols>
  <sheetData>
    <row r="2" spans="12:46" ht="36.9" customHeight="1"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AT2" s="18" t="s">
        <v>104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ht="24.9" customHeight="1">
      <c r="B4" s="21"/>
      <c r="D4" s="22" t="s">
        <v>117</v>
      </c>
      <c r="L4" s="21"/>
      <c r="M4" s="86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7" customHeight="1">
      <c r="B7" s="21"/>
      <c r="E7" s="496" t="str">
        <f>'Rekapitulace stavby'!K6</f>
        <v>REGENERACE PANELOVÉHO SÍDLIŠTĚ PRIEVIDZSKÁ - 7.ETAPA</v>
      </c>
      <c r="F7" s="497"/>
      <c r="G7" s="497"/>
      <c r="H7" s="497"/>
      <c r="L7" s="21"/>
    </row>
    <row r="8" spans="2:12" s="1" customFormat="1" ht="12" customHeight="1">
      <c r="B8" s="33"/>
      <c r="D8" s="28" t="s">
        <v>118</v>
      </c>
      <c r="L8" s="33"/>
    </row>
    <row r="9" spans="2:12" s="1" customFormat="1" ht="15" customHeight="1">
      <c r="B9" s="33"/>
      <c r="E9" s="489" t="s">
        <v>1694</v>
      </c>
      <c r="F9" s="495"/>
      <c r="G9" s="495"/>
      <c r="H9" s="495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39</v>
      </c>
      <c r="I12" s="28" t="s">
        <v>23</v>
      </c>
      <c r="J12" s="50" t="str">
        <f>'Rekapitulace stavby'!AN8</f>
        <v>22. 10. 2022</v>
      </c>
      <c r="L12" s="33"/>
    </row>
    <row r="13" spans="2:12" s="1" customFormat="1" ht="10.8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tr">
        <f>IF('Rekapitulace stavby'!AN10="","",'Rekapitulace stavby'!AN10)</f>
        <v>00303461</v>
      </c>
      <c r="L14" s="33"/>
    </row>
    <row r="15" spans="2:12" s="1" customFormat="1" ht="18" customHeight="1">
      <c r="B15" s="33"/>
      <c r="E15" s="26" t="str">
        <f>IF('Rekapitulace stavby'!E11="","",'Rekapitulace stavby'!E11)</f>
        <v>Město Šumperk</v>
      </c>
      <c r="I15" s="28" t="s">
        <v>29</v>
      </c>
      <c r="J15" s="26" t="str">
        <f>IF('Rekapitulace stavby'!AN11="","",'Rekapitulace stavby'!AN11)</f>
        <v>CZ00303461</v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498" t="str">
        <f>'Rekapitulace stavby'!E14</f>
        <v>Vyplň údaj</v>
      </c>
      <c r="F18" s="466"/>
      <c r="G18" s="466"/>
      <c r="H18" s="466"/>
      <c r="I18" s="28" t="s">
        <v>29</v>
      </c>
      <c r="J18" s="29" t="str">
        <f>'Rekapitulace stavby'!AN14</f>
        <v>Vyplň údaj</v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26</v>
      </c>
      <c r="J20" s="26" t="str">
        <f>IF('Rekapitulace stavby'!AN16="","",'Rekapitulace stavby'!AN16)</f>
        <v>25348817</v>
      </c>
      <c r="L20" s="33"/>
    </row>
    <row r="21" spans="2:12" s="1" customFormat="1" ht="18" customHeight="1">
      <c r="B21" s="33"/>
      <c r="E21" s="26" t="str">
        <f>IF('Rekapitulace stavby'!E17="","",'Rekapitulace stavby'!E17)</f>
        <v>Ateliér DPK, s.r.o.</v>
      </c>
      <c r="I21" s="28" t="s">
        <v>29</v>
      </c>
      <c r="J21" s="26" t="str">
        <f>IF('Rekapitulace stavby'!AN17="","",'Rekapitulace stavby'!AN17)</f>
        <v>CZ25348817</v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29</v>
      </c>
      <c r="J24" s="26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15" customHeight="1">
      <c r="B27" s="87"/>
      <c r="E27" s="471" t="s">
        <v>19</v>
      </c>
      <c r="F27" s="471"/>
      <c r="G27" s="471"/>
      <c r="H27" s="471"/>
      <c r="L27" s="8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42</v>
      </c>
      <c r="J30" s="64">
        <f>ROUND(J83,2)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4" customHeight="1">
      <c r="B33" s="33"/>
      <c r="D33" s="53" t="s">
        <v>46</v>
      </c>
      <c r="E33" s="28" t="s">
        <v>47</v>
      </c>
      <c r="F33" s="89">
        <f>ROUND((SUM(BE83:BE116)),2)</f>
        <v>0</v>
      </c>
      <c r="I33" s="90">
        <v>0.21</v>
      </c>
      <c r="J33" s="89">
        <f>ROUND(((SUM(BE83:BE116))*I33),2)</f>
        <v>0</v>
      </c>
      <c r="L33" s="33"/>
    </row>
    <row r="34" spans="2:12" s="1" customFormat="1" ht="14.4" customHeight="1">
      <c r="B34" s="33"/>
      <c r="E34" s="28" t="s">
        <v>48</v>
      </c>
      <c r="F34" s="89">
        <f>ROUND((SUM(BF83:BF116)),2)</f>
        <v>0</v>
      </c>
      <c r="I34" s="90">
        <v>0.15</v>
      </c>
      <c r="J34" s="89">
        <f>ROUND(((SUM(BF83:BF116))*I34),2)</f>
        <v>0</v>
      </c>
      <c r="L34" s="33"/>
    </row>
    <row r="35" spans="2:12" s="1" customFormat="1" ht="14.4" customHeight="1" hidden="1">
      <c r="B35" s="33"/>
      <c r="E35" s="28" t="s">
        <v>49</v>
      </c>
      <c r="F35" s="89">
        <f>ROUND((SUM(BG83:BG116)),2)</f>
        <v>0</v>
      </c>
      <c r="I35" s="90">
        <v>0.21</v>
      </c>
      <c r="J35" s="89">
        <f>0</f>
        <v>0</v>
      </c>
      <c r="L35" s="33"/>
    </row>
    <row r="36" spans="2:12" s="1" customFormat="1" ht="14.4" customHeight="1" hidden="1">
      <c r="B36" s="33"/>
      <c r="E36" s="28" t="s">
        <v>50</v>
      </c>
      <c r="F36" s="89">
        <f>ROUND((SUM(BH83:BH116)),2)</f>
        <v>0</v>
      </c>
      <c r="I36" s="90">
        <v>0.15</v>
      </c>
      <c r="J36" s="89">
        <f>0</f>
        <v>0</v>
      </c>
      <c r="L36" s="33"/>
    </row>
    <row r="37" spans="2:12" s="1" customFormat="1" ht="14.4" customHeight="1" hidden="1">
      <c r="B37" s="33"/>
      <c r="E37" s="28" t="s">
        <v>51</v>
      </c>
      <c r="F37" s="89">
        <f>ROUND((SUM(BI83:BI116)),2)</f>
        <v>0</v>
      </c>
      <c r="I37" s="90">
        <v>0</v>
      </c>
      <c r="J37" s="89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91"/>
      <c r="D39" s="92" t="s">
        <v>52</v>
      </c>
      <c r="E39" s="55"/>
      <c r="F39" s="55"/>
      <c r="G39" s="93" t="s">
        <v>53</v>
      </c>
      <c r="H39" s="94" t="s">
        <v>54</v>
      </c>
      <c r="I39" s="55"/>
      <c r="J39" s="95">
        <f>SUM(J30:J37)</f>
        <v>0</v>
      </c>
      <c r="K39" s="96"/>
      <c r="L39" s="33"/>
    </row>
    <row r="40" spans="2:12" s="1" customFormat="1" ht="14.4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" customHeight="1">
      <c r="B45" s="33"/>
      <c r="C45" s="22" t="s">
        <v>120</v>
      </c>
      <c r="L45" s="33"/>
    </row>
    <row r="46" spans="2:12" s="1" customFormat="1" ht="6.9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7" customHeight="1">
      <c r="B48" s="33"/>
      <c r="E48" s="496" t="str">
        <f>E7</f>
        <v>REGENERACE PANELOVÉHO SÍDLIŠTĚ PRIEVIDZSKÁ - 7.ETAPA</v>
      </c>
      <c r="F48" s="497"/>
      <c r="G48" s="497"/>
      <c r="H48" s="497"/>
      <c r="L48" s="33"/>
    </row>
    <row r="49" spans="2:12" s="1" customFormat="1" ht="12" customHeight="1">
      <c r="B49" s="33"/>
      <c r="C49" s="28" t="s">
        <v>118</v>
      </c>
      <c r="L49" s="33"/>
    </row>
    <row r="50" spans="2:12" s="1" customFormat="1" ht="15" customHeight="1">
      <c r="B50" s="33"/>
      <c r="E50" s="489" t="str">
        <f>E9</f>
        <v>SO 400.4 - Přeložka sdělovacích kabelu AQUA a..s.</v>
      </c>
      <c r="F50" s="495"/>
      <c r="G50" s="495"/>
      <c r="H50" s="495"/>
      <c r="L50" s="33"/>
    </row>
    <row r="51" spans="2:12" s="1" customFormat="1" ht="6.9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 xml:space="preserve"> </v>
      </c>
      <c r="I52" s="28" t="s">
        <v>23</v>
      </c>
      <c r="J52" s="50" t="str">
        <f>IF(J12="","",J12)</f>
        <v>22. 10. 2022</v>
      </c>
      <c r="L52" s="33"/>
    </row>
    <row r="53" spans="2:12" s="1" customFormat="1" ht="6.9" customHeight="1">
      <c r="B53" s="33"/>
      <c r="L53" s="33"/>
    </row>
    <row r="54" spans="2:12" s="1" customFormat="1" ht="14.85" customHeight="1">
      <c r="B54" s="33"/>
      <c r="C54" s="28" t="s">
        <v>25</v>
      </c>
      <c r="F54" s="26" t="str">
        <f>E15</f>
        <v>Město Šumperk</v>
      </c>
      <c r="I54" s="28" t="s">
        <v>33</v>
      </c>
      <c r="J54" s="31" t="str">
        <f>E21</f>
        <v>Ateliér DPK, s.r.o.</v>
      </c>
      <c r="L54" s="33"/>
    </row>
    <row r="55" spans="2:12" s="1" customFormat="1" ht="14.8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121</v>
      </c>
      <c r="D57" s="91"/>
      <c r="E57" s="91"/>
      <c r="F57" s="91"/>
      <c r="G57" s="91"/>
      <c r="H57" s="91"/>
      <c r="I57" s="91"/>
      <c r="J57" s="98" t="s">
        <v>122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8" customHeight="1">
      <c r="B59" s="33"/>
      <c r="C59" s="99" t="s">
        <v>74</v>
      </c>
      <c r="J59" s="64">
        <f>J83</f>
        <v>0</v>
      </c>
      <c r="L59" s="33"/>
      <c r="AU59" s="18" t="s">
        <v>123</v>
      </c>
    </row>
    <row r="60" spans="2:12" s="8" customFormat="1" ht="24.9" customHeight="1">
      <c r="B60" s="100"/>
      <c r="D60" s="101" t="s">
        <v>230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5" customHeight="1">
      <c r="B61" s="104"/>
      <c r="D61" s="105" t="s">
        <v>231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8" customFormat="1" ht="24.9" customHeight="1">
      <c r="B62" s="100"/>
      <c r="D62" s="101" t="s">
        <v>1695</v>
      </c>
      <c r="E62" s="102"/>
      <c r="F62" s="102"/>
      <c r="G62" s="102"/>
      <c r="H62" s="102"/>
      <c r="I62" s="102"/>
      <c r="J62" s="103">
        <f>J111</f>
        <v>0</v>
      </c>
      <c r="L62" s="100"/>
    </row>
    <row r="63" spans="2:12" s="9" customFormat="1" ht="19.95" customHeight="1">
      <c r="B63" s="104"/>
      <c r="D63" s="105" t="s">
        <v>1696</v>
      </c>
      <c r="E63" s="106"/>
      <c r="F63" s="106"/>
      <c r="G63" s="106"/>
      <c r="H63" s="106"/>
      <c r="I63" s="106"/>
      <c r="J63" s="107">
        <f>J112</f>
        <v>0</v>
      </c>
      <c r="L63" s="104"/>
    </row>
    <row r="64" spans="2:12" s="1" customFormat="1" ht="21.75" customHeight="1">
      <c r="B64" s="33"/>
      <c r="L64" s="33"/>
    </row>
    <row r="65" spans="2:12" s="1" customFormat="1" ht="6.9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" customHeight="1">
      <c r="B70" s="33"/>
      <c r="C70" s="22" t="s">
        <v>129</v>
      </c>
      <c r="L70" s="33"/>
    </row>
    <row r="71" spans="2:12" s="1" customFormat="1" ht="6.9" customHeight="1">
      <c r="B71" s="33"/>
      <c r="L71" s="33"/>
    </row>
    <row r="72" spans="2:12" s="1" customFormat="1" ht="12" customHeight="1">
      <c r="B72" s="33"/>
      <c r="C72" s="28" t="s">
        <v>16</v>
      </c>
      <c r="L72" s="33"/>
    </row>
    <row r="73" spans="2:12" s="1" customFormat="1" ht="27" customHeight="1">
      <c r="B73" s="33"/>
      <c r="E73" s="496" t="str">
        <f>E7</f>
        <v>REGENERACE PANELOVÉHO SÍDLIŠTĚ PRIEVIDZSKÁ - 7.ETAPA</v>
      </c>
      <c r="F73" s="497"/>
      <c r="G73" s="497"/>
      <c r="H73" s="497"/>
      <c r="L73" s="33"/>
    </row>
    <row r="74" spans="2:12" s="1" customFormat="1" ht="12" customHeight="1">
      <c r="B74" s="33"/>
      <c r="C74" s="28" t="s">
        <v>118</v>
      </c>
      <c r="L74" s="33"/>
    </row>
    <row r="75" spans="2:12" s="1" customFormat="1" ht="15" customHeight="1">
      <c r="B75" s="33"/>
      <c r="E75" s="489" t="str">
        <f>E9</f>
        <v>SO 400.4 - Přeložka sdělovacích kabelu AQUA a..s.</v>
      </c>
      <c r="F75" s="495"/>
      <c r="G75" s="495"/>
      <c r="H75" s="495"/>
      <c r="L75" s="33"/>
    </row>
    <row r="76" spans="2:12" s="1" customFormat="1" ht="6.9" customHeight="1">
      <c r="B76" s="33"/>
      <c r="L76" s="33"/>
    </row>
    <row r="77" spans="2:12" s="1" customFormat="1" ht="12" customHeight="1">
      <c r="B77" s="33"/>
      <c r="C77" s="28" t="s">
        <v>21</v>
      </c>
      <c r="F77" s="26" t="str">
        <f>F12</f>
        <v xml:space="preserve"> </v>
      </c>
      <c r="I77" s="28" t="s">
        <v>23</v>
      </c>
      <c r="J77" s="50" t="str">
        <f>IF(J12="","",J12)</f>
        <v>22. 10. 2022</v>
      </c>
      <c r="L77" s="33"/>
    </row>
    <row r="78" spans="2:12" s="1" customFormat="1" ht="6.9" customHeight="1">
      <c r="B78" s="33"/>
      <c r="L78" s="33"/>
    </row>
    <row r="79" spans="2:12" s="1" customFormat="1" ht="14.85" customHeight="1">
      <c r="B79" s="33"/>
      <c r="C79" s="28" t="s">
        <v>25</v>
      </c>
      <c r="F79" s="26" t="str">
        <f>E15</f>
        <v>Město Šumperk</v>
      </c>
      <c r="I79" s="28" t="s">
        <v>33</v>
      </c>
      <c r="J79" s="31" t="str">
        <f>E21</f>
        <v>Ateliér DPK, s.r.o.</v>
      </c>
      <c r="L79" s="33"/>
    </row>
    <row r="80" spans="2:12" s="1" customFormat="1" ht="14.85" customHeight="1">
      <c r="B80" s="33"/>
      <c r="C80" s="28" t="s">
        <v>31</v>
      </c>
      <c r="F80" s="26" t="str">
        <f>IF(E18="","",E18)</f>
        <v>Vyplň údaj</v>
      </c>
      <c r="I80" s="28" t="s">
        <v>38</v>
      </c>
      <c r="J80" s="31" t="str">
        <f>E24</f>
        <v xml:space="preserve"> 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8"/>
      <c r="C82" s="109" t="s">
        <v>130</v>
      </c>
      <c r="D82" s="110" t="s">
        <v>61</v>
      </c>
      <c r="E82" s="110" t="s">
        <v>57</v>
      </c>
      <c r="F82" s="110" t="s">
        <v>58</v>
      </c>
      <c r="G82" s="110" t="s">
        <v>131</v>
      </c>
      <c r="H82" s="110" t="s">
        <v>132</v>
      </c>
      <c r="I82" s="110" t="s">
        <v>133</v>
      </c>
      <c r="J82" s="110" t="s">
        <v>122</v>
      </c>
      <c r="K82" s="111" t="s">
        <v>134</v>
      </c>
      <c r="L82" s="108"/>
      <c r="M82" s="57" t="s">
        <v>19</v>
      </c>
      <c r="N82" s="58" t="s">
        <v>46</v>
      </c>
      <c r="O82" s="58" t="s">
        <v>135</v>
      </c>
      <c r="P82" s="58" t="s">
        <v>136</v>
      </c>
      <c r="Q82" s="58" t="s">
        <v>137</v>
      </c>
      <c r="R82" s="58" t="s">
        <v>138</v>
      </c>
      <c r="S82" s="58" t="s">
        <v>139</v>
      </c>
      <c r="T82" s="59" t="s">
        <v>140</v>
      </c>
    </row>
    <row r="83" spans="2:63" s="1" customFormat="1" ht="22.8" customHeight="1">
      <c r="B83" s="33"/>
      <c r="C83" s="62" t="s">
        <v>141</v>
      </c>
      <c r="J83" s="112">
        <f>BK83</f>
        <v>0</v>
      </c>
      <c r="L83" s="33"/>
      <c r="M83" s="60"/>
      <c r="N83" s="51"/>
      <c r="O83" s="51"/>
      <c r="P83" s="113">
        <f>P84+P111</f>
        <v>0</v>
      </c>
      <c r="Q83" s="51"/>
      <c r="R83" s="113">
        <f>R84+R111</f>
        <v>0.70338</v>
      </c>
      <c r="S83" s="51"/>
      <c r="T83" s="114">
        <f>T84+T111</f>
        <v>0</v>
      </c>
      <c r="AT83" s="18" t="s">
        <v>75</v>
      </c>
      <c r="AU83" s="18" t="s">
        <v>123</v>
      </c>
      <c r="BK83" s="115">
        <f>BK84+BK111</f>
        <v>0</v>
      </c>
    </row>
    <row r="84" spans="2:63" s="11" customFormat="1" ht="25.8" customHeight="1">
      <c r="B84" s="116"/>
      <c r="D84" s="117" t="s">
        <v>75</v>
      </c>
      <c r="E84" s="118" t="s">
        <v>241</v>
      </c>
      <c r="F84" s="118" t="s">
        <v>242</v>
      </c>
      <c r="I84" s="119"/>
      <c r="J84" s="120">
        <f>BK84</f>
        <v>0</v>
      </c>
      <c r="L84" s="116"/>
      <c r="M84" s="121"/>
      <c r="P84" s="122">
        <f>P85</f>
        <v>0</v>
      </c>
      <c r="R84" s="122">
        <f>R85</f>
        <v>0.7011000000000001</v>
      </c>
      <c r="T84" s="123">
        <f>T85</f>
        <v>0</v>
      </c>
      <c r="AR84" s="117" t="s">
        <v>84</v>
      </c>
      <c r="AT84" s="124" t="s">
        <v>75</v>
      </c>
      <c r="AU84" s="124" t="s">
        <v>76</v>
      </c>
      <c r="AY84" s="117" t="s">
        <v>144</v>
      </c>
      <c r="BK84" s="125">
        <f>BK85</f>
        <v>0</v>
      </c>
    </row>
    <row r="85" spans="2:63" s="11" customFormat="1" ht="22.8" customHeight="1">
      <c r="B85" s="116"/>
      <c r="D85" s="117" t="s">
        <v>75</v>
      </c>
      <c r="E85" s="126" t="s">
        <v>84</v>
      </c>
      <c r="F85" s="126" t="s">
        <v>243</v>
      </c>
      <c r="I85" s="119"/>
      <c r="J85" s="127">
        <f>BK85</f>
        <v>0</v>
      </c>
      <c r="L85" s="116"/>
      <c r="M85" s="121"/>
      <c r="P85" s="122">
        <f>SUM(P86:P110)</f>
        <v>0</v>
      </c>
      <c r="R85" s="122">
        <f>SUM(R86:R110)</f>
        <v>0.7011000000000001</v>
      </c>
      <c r="T85" s="123">
        <f>SUM(T86:T110)</f>
        <v>0</v>
      </c>
      <c r="AR85" s="117" t="s">
        <v>84</v>
      </c>
      <c r="AT85" s="124" t="s">
        <v>75</v>
      </c>
      <c r="AU85" s="124" t="s">
        <v>84</v>
      </c>
      <c r="AY85" s="117" t="s">
        <v>144</v>
      </c>
      <c r="BK85" s="125">
        <f>SUM(BK86:BK110)</f>
        <v>0</v>
      </c>
    </row>
    <row r="86" spans="2:65" s="1" customFormat="1" ht="85.2" customHeight="1">
      <c r="B86" s="33"/>
      <c r="C86" s="128" t="s">
        <v>84</v>
      </c>
      <c r="D86" s="128" t="s">
        <v>147</v>
      </c>
      <c r="E86" s="129" t="s">
        <v>1697</v>
      </c>
      <c r="F86" s="130" t="s">
        <v>1698</v>
      </c>
      <c r="G86" s="131" t="s">
        <v>308</v>
      </c>
      <c r="H86" s="132">
        <v>19</v>
      </c>
      <c r="I86" s="133"/>
      <c r="J86" s="134">
        <f>ROUND(I86*H86,2)</f>
        <v>0</v>
      </c>
      <c r="K86" s="130" t="s">
        <v>151</v>
      </c>
      <c r="L86" s="33"/>
      <c r="M86" s="135" t="s">
        <v>19</v>
      </c>
      <c r="N86" s="136" t="s">
        <v>47</v>
      </c>
      <c r="P86" s="137">
        <f>O86*H86</f>
        <v>0</v>
      </c>
      <c r="Q86" s="137">
        <v>0.0369</v>
      </c>
      <c r="R86" s="137">
        <f>Q86*H86</f>
        <v>0.7011000000000001</v>
      </c>
      <c r="S86" s="137">
        <v>0</v>
      </c>
      <c r="T86" s="138">
        <f>S86*H86</f>
        <v>0</v>
      </c>
      <c r="AR86" s="139" t="s">
        <v>166</v>
      </c>
      <c r="AT86" s="139" t="s">
        <v>147</v>
      </c>
      <c r="AU86" s="139" t="s">
        <v>86</v>
      </c>
      <c r="AY86" s="18" t="s">
        <v>144</v>
      </c>
      <c r="BE86" s="140">
        <f>IF(N86="základní",J86,0)</f>
        <v>0</v>
      </c>
      <c r="BF86" s="140">
        <f>IF(N86="snížená",J86,0)</f>
        <v>0</v>
      </c>
      <c r="BG86" s="140">
        <f>IF(N86="zákl. přenesená",J86,0)</f>
        <v>0</v>
      </c>
      <c r="BH86" s="140">
        <f>IF(N86="sníž. přenesená",J86,0)</f>
        <v>0</v>
      </c>
      <c r="BI86" s="140">
        <f>IF(N86="nulová",J86,0)</f>
        <v>0</v>
      </c>
      <c r="BJ86" s="18" t="s">
        <v>84</v>
      </c>
      <c r="BK86" s="140">
        <f>ROUND(I86*H86,2)</f>
        <v>0</v>
      </c>
      <c r="BL86" s="18" t="s">
        <v>166</v>
      </c>
      <c r="BM86" s="139" t="s">
        <v>1699</v>
      </c>
    </row>
    <row r="87" spans="2:47" s="1" customFormat="1" ht="12">
      <c r="B87" s="33"/>
      <c r="D87" s="141" t="s">
        <v>154</v>
      </c>
      <c r="F87" s="142" t="s">
        <v>1700</v>
      </c>
      <c r="I87" s="143"/>
      <c r="L87" s="33"/>
      <c r="M87" s="144"/>
      <c r="T87" s="54"/>
      <c r="AT87" s="18" t="s">
        <v>154</v>
      </c>
      <c r="AU87" s="18" t="s">
        <v>86</v>
      </c>
    </row>
    <row r="88" spans="2:51" s="12" customFormat="1" ht="12">
      <c r="B88" s="152"/>
      <c r="D88" s="145" t="s">
        <v>249</v>
      </c>
      <c r="E88" s="153" t="s">
        <v>19</v>
      </c>
      <c r="F88" s="154" t="s">
        <v>1701</v>
      </c>
      <c r="H88" s="155">
        <v>19</v>
      </c>
      <c r="I88" s="156"/>
      <c r="L88" s="152"/>
      <c r="M88" s="157"/>
      <c r="T88" s="158"/>
      <c r="AT88" s="153" t="s">
        <v>249</v>
      </c>
      <c r="AU88" s="153" t="s">
        <v>86</v>
      </c>
      <c r="AV88" s="12" t="s">
        <v>86</v>
      </c>
      <c r="AW88" s="12" t="s">
        <v>37</v>
      </c>
      <c r="AX88" s="12" t="s">
        <v>76</v>
      </c>
      <c r="AY88" s="153" t="s">
        <v>144</v>
      </c>
    </row>
    <row r="89" spans="2:51" s="13" customFormat="1" ht="12">
      <c r="B89" s="159"/>
      <c r="D89" s="145" t="s">
        <v>249</v>
      </c>
      <c r="E89" s="160" t="s">
        <v>19</v>
      </c>
      <c r="F89" s="161" t="s">
        <v>251</v>
      </c>
      <c r="H89" s="162">
        <v>19</v>
      </c>
      <c r="I89" s="163"/>
      <c r="L89" s="159"/>
      <c r="M89" s="164"/>
      <c r="T89" s="165"/>
      <c r="AT89" s="160" t="s">
        <v>249</v>
      </c>
      <c r="AU89" s="160" t="s">
        <v>86</v>
      </c>
      <c r="AV89" s="13" t="s">
        <v>166</v>
      </c>
      <c r="AW89" s="13" t="s">
        <v>37</v>
      </c>
      <c r="AX89" s="13" t="s">
        <v>84</v>
      </c>
      <c r="AY89" s="160" t="s">
        <v>144</v>
      </c>
    </row>
    <row r="90" spans="2:65" s="1" customFormat="1" ht="42.6" customHeight="1">
      <c r="B90" s="33"/>
      <c r="C90" s="128" t="s">
        <v>86</v>
      </c>
      <c r="D90" s="128" t="s">
        <v>147</v>
      </c>
      <c r="E90" s="129" t="s">
        <v>1702</v>
      </c>
      <c r="F90" s="130" t="s">
        <v>1703</v>
      </c>
      <c r="G90" s="131" t="s">
        <v>324</v>
      </c>
      <c r="H90" s="132">
        <v>38</v>
      </c>
      <c r="I90" s="133"/>
      <c r="J90" s="134">
        <f>ROUND(I90*H90,2)</f>
        <v>0</v>
      </c>
      <c r="K90" s="130" t="s">
        <v>151</v>
      </c>
      <c r="L90" s="33"/>
      <c r="M90" s="135" t="s">
        <v>19</v>
      </c>
      <c r="N90" s="136" t="s">
        <v>47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166</v>
      </c>
      <c r="AT90" s="139" t="s">
        <v>147</v>
      </c>
      <c r="AU90" s="139" t="s">
        <v>86</v>
      </c>
      <c r="AY90" s="18" t="s">
        <v>144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84</v>
      </c>
      <c r="BK90" s="140">
        <f>ROUND(I90*H90,2)</f>
        <v>0</v>
      </c>
      <c r="BL90" s="18" t="s">
        <v>166</v>
      </c>
      <c r="BM90" s="139" t="s">
        <v>1704</v>
      </c>
    </row>
    <row r="91" spans="2:47" s="1" customFormat="1" ht="12">
      <c r="B91" s="33"/>
      <c r="D91" s="141" t="s">
        <v>154</v>
      </c>
      <c r="F91" s="142" t="s">
        <v>1705</v>
      </c>
      <c r="I91" s="143"/>
      <c r="L91" s="33"/>
      <c r="M91" s="144"/>
      <c r="T91" s="54"/>
      <c r="AT91" s="18" t="s">
        <v>154</v>
      </c>
      <c r="AU91" s="18" t="s">
        <v>86</v>
      </c>
    </row>
    <row r="92" spans="2:51" s="12" customFormat="1" ht="20.4">
      <c r="B92" s="152"/>
      <c r="D92" s="145" t="s">
        <v>249</v>
      </c>
      <c r="E92" s="153" t="s">
        <v>19</v>
      </c>
      <c r="F92" s="154" t="s">
        <v>1706</v>
      </c>
      <c r="H92" s="155">
        <v>38</v>
      </c>
      <c r="I92" s="156"/>
      <c r="L92" s="152"/>
      <c r="M92" s="157"/>
      <c r="T92" s="158"/>
      <c r="AT92" s="153" t="s">
        <v>249</v>
      </c>
      <c r="AU92" s="153" t="s">
        <v>86</v>
      </c>
      <c r="AV92" s="12" t="s">
        <v>86</v>
      </c>
      <c r="AW92" s="12" t="s">
        <v>37</v>
      </c>
      <c r="AX92" s="12" t="s">
        <v>76</v>
      </c>
      <c r="AY92" s="153" t="s">
        <v>144</v>
      </c>
    </row>
    <row r="93" spans="2:51" s="13" customFormat="1" ht="12">
      <c r="B93" s="159"/>
      <c r="D93" s="145" t="s">
        <v>249</v>
      </c>
      <c r="E93" s="160" t="s">
        <v>19</v>
      </c>
      <c r="F93" s="161" t="s">
        <v>251</v>
      </c>
      <c r="H93" s="162">
        <v>38</v>
      </c>
      <c r="I93" s="163"/>
      <c r="L93" s="159"/>
      <c r="M93" s="164"/>
      <c r="T93" s="165"/>
      <c r="AT93" s="160" t="s">
        <v>249</v>
      </c>
      <c r="AU93" s="160" t="s">
        <v>86</v>
      </c>
      <c r="AV93" s="13" t="s">
        <v>166</v>
      </c>
      <c r="AW93" s="13" t="s">
        <v>37</v>
      </c>
      <c r="AX93" s="13" t="s">
        <v>84</v>
      </c>
      <c r="AY93" s="160" t="s">
        <v>144</v>
      </c>
    </row>
    <row r="94" spans="2:65" s="1" customFormat="1" ht="60.45" customHeight="1">
      <c r="B94" s="33"/>
      <c r="C94" s="128" t="s">
        <v>162</v>
      </c>
      <c r="D94" s="128" t="s">
        <v>147</v>
      </c>
      <c r="E94" s="129" t="s">
        <v>351</v>
      </c>
      <c r="F94" s="130" t="s">
        <v>352</v>
      </c>
      <c r="G94" s="131" t="s">
        <v>324</v>
      </c>
      <c r="H94" s="132">
        <v>76</v>
      </c>
      <c r="I94" s="133"/>
      <c r="J94" s="134">
        <f>ROUND(I94*H94,2)</f>
        <v>0</v>
      </c>
      <c r="K94" s="130" t="s">
        <v>151</v>
      </c>
      <c r="L94" s="33"/>
      <c r="M94" s="135" t="s">
        <v>19</v>
      </c>
      <c r="N94" s="136" t="s">
        <v>47</v>
      </c>
      <c r="P94" s="137">
        <f>O94*H94</f>
        <v>0</v>
      </c>
      <c r="Q94" s="137">
        <v>0</v>
      </c>
      <c r="R94" s="137">
        <f>Q94*H94</f>
        <v>0</v>
      </c>
      <c r="S94" s="137">
        <v>0</v>
      </c>
      <c r="T94" s="138">
        <f>S94*H94</f>
        <v>0</v>
      </c>
      <c r="AR94" s="139" t="s">
        <v>166</v>
      </c>
      <c r="AT94" s="139" t="s">
        <v>147</v>
      </c>
      <c r="AU94" s="139" t="s">
        <v>86</v>
      </c>
      <c r="AY94" s="18" t="s">
        <v>144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84</v>
      </c>
      <c r="BK94" s="140">
        <f>ROUND(I94*H94,2)</f>
        <v>0</v>
      </c>
      <c r="BL94" s="18" t="s">
        <v>166</v>
      </c>
      <c r="BM94" s="139" t="s">
        <v>1707</v>
      </c>
    </row>
    <row r="95" spans="2:47" s="1" customFormat="1" ht="12">
      <c r="B95" s="33"/>
      <c r="D95" s="141" t="s">
        <v>154</v>
      </c>
      <c r="F95" s="142" t="s">
        <v>354</v>
      </c>
      <c r="I95" s="143"/>
      <c r="L95" s="33"/>
      <c r="M95" s="144"/>
      <c r="T95" s="54"/>
      <c r="AT95" s="18" t="s">
        <v>154</v>
      </c>
      <c r="AU95" s="18" t="s">
        <v>86</v>
      </c>
    </row>
    <row r="96" spans="2:51" s="12" customFormat="1" ht="12">
      <c r="B96" s="152"/>
      <c r="D96" s="145" t="s">
        <v>249</v>
      </c>
      <c r="E96" s="153" t="s">
        <v>19</v>
      </c>
      <c r="F96" s="154" t="s">
        <v>1708</v>
      </c>
      <c r="H96" s="155">
        <v>38</v>
      </c>
      <c r="I96" s="156"/>
      <c r="L96" s="152"/>
      <c r="M96" s="157"/>
      <c r="T96" s="158"/>
      <c r="AT96" s="153" t="s">
        <v>249</v>
      </c>
      <c r="AU96" s="153" t="s">
        <v>86</v>
      </c>
      <c r="AV96" s="12" t="s">
        <v>86</v>
      </c>
      <c r="AW96" s="12" t="s">
        <v>37</v>
      </c>
      <c r="AX96" s="12" t="s">
        <v>76</v>
      </c>
      <c r="AY96" s="153" t="s">
        <v>144</v>
      </c>
    </row>
    <row r="97" spans="2:51" s="12" customFormat="1" ht="12">
      <c r="B97" s="152"/>
      <c r="D97" s="145" t="s">
        <v>249</v>
      </c>
      <c r="E97" s="153" t="s">
        <v>19</v>
      </c>
      <c r="F97" s="154" t="s">
        <v>1709</v>
      </c>
      <c r="H97" s="155">
        <v>38</v>
      </c>
      <c r="I97" s="156"/>
      <c r="L97" s="152"/>
      <c r="M97" s="157"/>
      <c r="T97" s="158"/>
      <c r="AT97" s="153" t="s">
        <v>249</v>
      </c>
      <c r="AU97" s="153" t="s">
        <v>86</v>
      </c>
      <c r="AV97" s="12" t="s">
        <v>86</v>
      </c>
      <c r="AW97" s="12" t="s">
        <v>37</v>
      </c>
      <c r="AX97" s="12" t="s">
        <v>76</v>
      </c>
      <c r="AY97" s="153" t="s">
        <v>144</v>
      </c>
    </row>
    <row r="98" spans="2:51" s="13" customFormat="1" ht="12">
      <c r="B98" s="159"/>
      <c r="D98" s="145" t="s">
        <v>249</v>
      </c>
      <c r="E98" s="160" t="s">
        <v>19</v>
      </c>
      <c r="F98" s="161" t="s">
        <v>251</v>
      </c>
      <c r="H98" s="162">
        <v>76</v>
      </c>
      <c r="I98" s="163"/>
      <c r="L98" s="159"/>
      <c r="M98" s="164"/>
      <c r="T98" s="165"/>
      <c r="AT98" s="160" t="s">
        <v>249</v>
      </c>
      <c r="AU98" s="160" t="s">
        <v>86</v>
      </c>
      <c r="AV98" s="13" t="s">
        <v>166</v>
      </c>
      <c r="AW98" s="13" t="s">
        <v>37</v>
      </c>
      <c r="AX98" s="13" t="s">
        <v>84</v>
      </c>
      <c r="AY98" s="160" t="s">
        <v>144</v>
      </c>
    </row>
    <row r="99" spans="2:65" s="1" customFormat="1" ht="42.6" customHeight="1">
      <c r="B99" s="33"/>
      <c r="C99" s="128" t="s">
        <v>166</v>
      </c>
      <c r="D99" s="128" t="s">
        <v>147</v>
      </c>
      <c r="E99" s="129" t="s">
        <v>378</v>
      </c>
      <c r="F99" s="130" t="s">
        <v>379</v>
      </c>
      <c r="G99" s="131" t="s">
        <v>324</v>
      </c>
      <c r="H99" s="132">
        <v>38</v>
      </c>
      <c r="I99" s="133"/>
      <c r="J99" s="134">
        <f>ROUND(I99*H99,2)</f>
        <v>0</v>
      </c>
      <c r="K99" s="130" t="s">
        <v>151</v>
      </c>
      <c r="L99" s="33"/>
      <c r="M99" s="135" t="s">
        <v>19</v>
      </c>
      <c r="N99" s="136" t="s">
        <v>47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166</v>
      </c>
      <c r="AT99" s="139" t="s">
        <v>147</v>
      </c>
      <c r="AU99" s="139" t="s">
        <v>86</v>
      </c>
      <c r="AY99" s="18" t="s">
        <v>144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84</v>
      </c>
      <c r="BK99" s="140">
        <f>ROUND(I99*H99,2)</f>
        <v>0</v>
      </c>
      <c r="BL99" s="18" t="s">
        <v>166</v>
      </c>
      <c r="BM99" s="139" t="s">
        <v>1710</v>
      </c>
    </row>
    <row r="100" spans="2:47" s="1" customFormat="1" ht="12">
      <c r="B100" s="33"/>
      <c r="D100" s="141" t="s">
        <v>154</v>
      </c>
      <c r="F100" s="142" t="s">
        <v>381</v>
      </c>
      <c r="I100" s="143"/>
      <c r="L100" s="33"/>
      <c r="M100" s="144"/>
      <c r="T100" s="54"/>
      <c r="AT100" s="18" t="s">
        <v>154</v>
      </c>
      <c r="AU100" s="18" t="s">
        <v>86</v>
      </c>
    </row>
    <row r="101" spans="2:51" s="12" customFormat="1" ht="12">
      <c r="B101" s="152"/>
      <c r="D101" s="145" t="s">
        <v>249</v>
      </c>
      <c r="E101" s="153" t="s">
        <v>19</v>
      </c>
      <c r="F101" s="154" t="s">
        <v>1711</v>
      </c>
      <c r="H101" s="155">
        <v>38</v>
      </c>
      <c r="I101" s="156"/>
      <c r="L101" s="152"/>
      <c r="M101" s="157"/>
      <c r="T101" s="158"/>
      <c r="AT101" s="153" t="s">
        <v>249</v>
      </c>
      <c r="AU101" s="153" t="s">
        <v>86</v>
      </c>
      <c r="AV101" s="12" t="s">
        <v>86</v>
      </c>
      <c r="AW101" s="12" t="s">
        <v>37</v>
      </c>
      <c r="AX101" s="12" t="s">
        <v>76</v>
      </c>
      <c r="AY101" s="153" t="s">
        <v>144</v>
      </c>
    </row>
    <row r="102" spans="2:51" s="13" customFormat="1" ht="12">
      <c r="B102" s="159"/>
      <c r="D102" s="145" t="s">
        <v>249</v>
      </c>
      <c r="E102" s="160" t="s">
        <v>19</v>
      </c>
      <c r="F102" s="161" t="s">
        <v>251</v>
      </c>
      <c r="H102" s="162">
        <v>38</v>
      </c>
      <c r="I102" s="163"/>
      <c r="L102" s="159"/>
      <c r="M102" s="164"/>
      <c r="T102" s="165"/>
      <c r="AT102" s="160" t="s">
        <v>249</v>
      </c>
      <c r="AU102" s="160" t="s">
        <v>86</v>
      </c>
      <c r="AV102" s="13" t="s">
        <v>166</v>
      </c>
      <c r="AW102" s="13" t="s">
        <v>37</v>
      </c>
      <c r="AX102" s="13" t="s">
        <v>84</v>
      </c>
      <c r="AY102" s="160" t="s">
        <v>144</v>
      </c>
    </row>
    <row r="103" spans="2:65" s="1" customFormat="1" ht="36.6" customHeight="1">
      <c r="B103" s="33"/>
      <c r="C103" s="128" t="s">
        <v>143</v>
      </c>
      <c r="D103" s="128" t="s">
        <v>147</v>
      </c>
      <c r="E103" s="129" t="s">
        <v>390</v>
      </c>
      <c r="F103" s="130" t="s">
        <v>391</v>
      </c>
      <c r="G103" s="131" t="s">
        <v>324</v>
      </c>
      <c r="H103" s="132">
        <v>38</v>
      </c>
      <c r="I103" s="133"/>
      <c r="J103" s="134">
        <f>ROUND(I103*H103,2)</f>
        <v>0</v>
      </c>
      <c r="K103" s="130" t="s">
        <v>151</v>
      </c>
      <c r="L103" s="33"/>
      <c r="M103" s="135" t="s">
        <v>19</v>
      </c>
      <c r="N103" s="136" t="s">
        <v>47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166</v>
      </c>
      <c r="AT103" s="139" t="s">
        <v>147</v>
      </c>
      <c r="AU103" s="139" t="s">
        <v>86</v>
      </c>
      <c r="AY103" s="18" t="s">
        <v>144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84</v>
      </c>
      <c r="BK103" s="140">
        <f>ROUND(I103*H103,2)</f>
        <v>0</v>
      </c>
      <c r="BL103" s="18" t="s">
        <v>166</v>
      </c>
      <c r="BM103" s="139" t="s">
        <v>1712</v>
      </c>
    </row>
    <row r="104" spans="2:47" s="1" customFormat="1" ht="12">
      <c r="B104" s="33"/>
      <c r="D104" s="141" t="s">
        <v>154</v>
      </c>
      <c r="F104" s="142" t="s">
        <v>393</v>
      </c>
      <c r="I104" s="143"/>
      <c r="L104" s="33"/>
      <c r="M104" s="144"/>
      <c r="T104" s="54"/>
      <c r="AT104" s="18" t="s">
        <v>154</v>
      </c>
      <c r="AU104" s="18" t="s">
        <v>86</v>
      </c>
    </row>
    <row r="105" spans="2:51" s="12" customFormat="1" ht="12">
      <c r="B105" s="152"/>
      <c r="D105" s="145" t="s">
        <v>249</v>
      </c>
      <c r="E105" s="153" t="s">
        <v>19</v>
      </c>
      <c r="F105" s="154" t="s">
        <v>1713</v>
      </c>
      <c r="H105" s="155">
        <v>38</v>
      </c>
      <c r="I105" s="156"/>
      <c r="L105" s="152"/>
      <c r="M105" s="157"/>
      <c r="T105" s="158"/>
      <c r="AT105" s="153" t="s">
        <v>249</v>
      </c>
      <c r="AU105" s="153" t="s">
        <v>86</v>
      </c>
      <c r="AV105" s="12" t="s">
        <v>86</v>
      </c>
      <c r="AW105" s="12" t="s">
        <v>37</v>
      </c>
      <c r="AX105" s="12" t="s">
        <v>76</v>
      </c>
      <c r="AY105" s="153" t="s">
        <v>144</v>
      </c>
    </row>
    <row r="106" spans="2:51" s="13" customFormat="1" ht="12">
      <c r="B106" s="159"/>
      <c r="D106" s="145" t="s">
        <v>249</v>
      </c>
      <c r="E106" s="160" t="s">
        <v>19</v>
      </c>
      <c r="F106" s="161" t="s">
        <v>251</v>
      </c>
      <c r="H106" s="162">
        <v>38</v>
      </c>
      <c r="I106" s="163"/>
      <c r="L106" s="159"/>
      <c r="M106" s="164"/>
      <c r="T106" s="165"/>
      <c r="AT106" s="160" t="s">
        <v>249</v>
      </c>
      <c r="AU106" s="160" t="s">
        <v>86</v>
      </c>
      <c r="AV106" s="13" t="s">
        <v>166</v>
      </c>
      <c r="AW106" s="13" t="s">
        <v>37</v>
      </c>
      <c r="AX106" s="13" t="s">
        <v>84</v>
      </c>
      <c r="AY106" s="160" t="s">
        <v>144</v>
      </c>
    </row>
    <row r="107" spans="2:65" s="1" customFormat="1" ht="42.6" customHeight="1">
      <c r="B107" s="33"/>
      <c r="C107" s="128" t="s">
        <v>177</v>
      </c>
      <c r="D107" s="128" t="s">
        <v>147</v>
      </c>
      <c r="E107" s="129" t="s">
        <v>398</v>
      </c>
      <c r="F107" s="130" t="s">
        <v>1346</v>
      </c>
      <c r="G107" s="131" t="s">
        <v>324</v>
      </c>
      <c r="H107" s="132">
        <v>38</v>
      </c>
      <c r="I107" s="133"/>
      <c r="J107" s="134">
        <f>ROUND(I107*H107,2)</f>
        <v>0</v>
      </c>
      <c r="K107" s="130" t="s">
        <v>151</v>
      </c>
      <c r="L107" s="33"/>
      <c r="M107" s="135" t="s">
        <v>19</v>
      </c>
      <c r="N107" s="136" t="s">
        <v>47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166</v>
      </c>
      <c r="AT107" s="139" t="s">
        <v>147</v>
      </c>
      <c r="AU107" s="139" t="s">
        <v>86</v>
      </c>
      <c r="AY107" s="18" t="s">
        <v>144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84</v>
      </c>
      <c r="BK107" s="140">
        <f>ROUND(I107*H107,2)</f>
        <v>0</v>
      </c>
      <c r="BL107" s="18" t="s">
        <v>166</v>
      </c>
      <c r="BM107" s="139" t="s">
        <v>1714</v>
      </c>
    </row>
    <row r="108" spans="2:47" s="1" customFormat="1" ht="12">
      <c r="B108" s="33"/>
      <c r="D108" s="141" t="s">
        <v>154</v>
      </c>
      <c r="F108" s="142" t="s">
        <v>1348</v>
      </c>
      <c r="I108" s="143"/>
      <c r="L108" s="33"/>
      <c r="M108" s="144"/>
      <c r="T108" s="54"/>
      <c r="AT108" s="18" t="s">
        <v>154</v>
      </c>
      <c r="AU108" s="18" t="s">
        <v>86</v>
      </c>
    </row>
    <row r="109" spans="2:51" s="12" customFormat="1" ht="20.4">
      <c r="B109" s="152"/>
      <c r="D109" s="145" t="s">
        <v>249</v>
      </c>
      <c r="E109" s="153" t="s">
        <v>19</v>
      </c>
      <c r="F109" s="154" t="s">
        <v>1715</v>
      </c>
      <c r="H109" s="155">
        <v>38</v>
      </c>
      <c r="I109" s="156"/>
      <c r="L109" s="152"/>
      <c r="M109" s="157"/>
      <c r="T109" s="158"/>
      <c r="AT109" s="153" t="s">
        <v>249</v>
      </c>
      <c r="AU109" s="153" t="s">
        <v>86</v>
      </c>
      <c r="AV109" s="12" t="s">
        <v>86</v>
      </c>
      <c r="AW109" s="12" t="s">
        <v>37</v>
      </c>
      <c r="AX109" s="12" t="s">
        <v>76</v>
      </c>
      <c r="AY109" s="153" t="s">
        <v>144</v>
      </c>
    </row>
    <row r="110" spans="2:51" s="13" customFormat="1" ht="12">
      <c r="B110" s="159"/>
      <c r="D110" s="145" t="s">
        <v>249</v>
      </c>
      <c r="E110" s="160" t="s">
        <v>19</v>
      </c>
      <c r="F110" s="161" t="s">
        <v>251</v>
      </c>
      <c r="H110" s="162">
        <v>38</v>
      </c>
      <c r="I110" s="163"/>
      <c r="L110" s="159"/>
      <c r="M110" s="164"/>
      <c r="T110" s="165"/>
      <c r="AT110" s="160" t="s">
        <v>249</v>
      </c>
      <c r="AU110" s="160" t="s">
        <v>86</v>
      </c>
      <c r="AV110" s="13" t="s">
        <v>166</v>
      </c>
      <c r="AW110" s="13" t="s">
        <v>37</v>
      </c>
      <c r="AX110" s="13" t="s">
        <v>84</v>
      </c>
      <c r="AY110" s="160" t="s">
        <v>144</v>
      </c>
    </row>
    <row r="111" spans="2:63" s="11" customFormat="1" ht="25.8" customHeight="1">
      <c r="B111" s="116"/>
      <c r="D111" s="117" t="s">
        <v>75</v>
      </c>
      <c r="E111" s="118" t="s">
        <v>410</v>
      </c>
      <c r="F111" s="118" t="s">
        <v>1716</v>
      </c>
      <c r="I111" s="119"/>
      <c r="J111" s="120">
        <f>BK111</f>
        <v>0</v>
      </c>
      <c r="L111" s="116"/>
      <c r="M111" s="121"/>
      <c r="P111" s="122">
        <f>P112</f>
        <v>0</v>
      </c>
      <c r="R111" s="122">
        <f>R112</f>
        <v>0.00228</v>
      </c>
      <c r="T111" s="123">
        <f>T112</f>
        <v>0</v>
      </c>
      <c r="AR111" s="117" t="s">
        <v>162</v>
      </c>
      <c r="AT111" s="124" t="s">
        <v>75</v>
      </c>
      <c r="AU111" s="124" t="s">
        <v>76</v>
      </c>
      <c r="AY111" s="117" t="s">
        <v>144</v>
      </c>
      <c r="BK111" s="125">
        <f>BK112</f>
        <v>0</v>
      </c>
    </row>
    <row r="112" spans="2:63" s="11" customFormat="1" ht="22.8" customHeight="1">
      <c r="B112" s="116"/>
      <c r="D112" s="117" t="s">
        <v>75</v>
      </c>
      <c r="E112" s="126" t="s">
        <v>1717</v>
      </c>
      <c r="F112" s="126" t="s">
        <v>1718</v>
      </c>
      <c r="I112" s="119"/>
      <c r="J112" s="127">
        <f>BK112</f>
        <v>0</v>
      </c>
      <c r="L112" s="116"/>
      <c r="M112" s="121"/>
      <c r="P112" s="122">
        <f>SUM(P113:P116)</f>
        <v>0</v>
      </c>
      <c r="R112" s="122">
        <f>SUM(R113:R116)</f>
        <v>0.00228</v>
      </c>
      <c r="T112" s="123">
        <f>SUM(T113:T116)</f>
        <v>0</v>
      </c>
      <c r="AR112" s="117" t="s">
        <v>162</v>
      </c>
      <c r="AT112" s="124" t="s">
        <v>75</v>
      </c>
      <c r="AU112" s="124" t="s">
        <v>84</v>
      </c>
      <c r="AY112" s="117" t="s">
        <v>144</v>
      </c>
      <c r="BK112" s="125">
        <f>SUM(BK113:BK116)</f>
        <v>0</v>
      </c>
    </row>
    <row r="113" spans="2:65" s="1" customFormat="1" ht="36.6" customHeight="1">
      <c r="B113" s="33"/>
      <c r="C113" s="128" t="s">
        <v>184</v>
      </c>
      <c r="D113" s="128" t="s">
        <v>147</v>
      </c>
      <c r="E113" s="129" t="s">
        <v>1719</v>
      </c>
      <c r="F113" s="130" t="s">
        <v>1720</v>
      </c>
      <c r="G113" s="131" t="s">
        <v>308</v>
      </c>
      <c r="H113" s="132">
        <v>19</v>
      </c>
      <c r="I113" s="133"/>
      <c r="J113" s="134">
        <f>ROUND(I113*H113,2)</f>
        <v>0</v>
      </c>
      <c r="K113" s="130" t="s">
        <v>151</v>
      </c>
      <c r="L113" s="33"/>
      <c r="M113" s="135" t="s">
        <v>19</v>
      </c>
      <c r="N113" s="136" t="s">
        <v>47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632</v>
      </c>
      <c r="AT113" s="139" t="s">
        <v>147</v>
      </c>
      <c r="AU113" s="139" t="s">
        <v>86</v>
      </c>
      <c r="AY113" s="18" t="s">
        <v>144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84</v>
      </c>
      <c r="BK113" s="140">
        <f>ROUND(I113*H113,2)</f>
        <v>0</v>
      </c>
      <c r="BL113" s="18" t="s">
        <v>632</v>
      </c>
      <c r="BM113" s="139" t="s">
        <v>1721</v>
      </c>
    </row>
    <row r="114" spans="2:47" s="1" customFormat="1" ht="12">
      <c r="B114" s="33"/>
      <c r="D114" s="141" t="s">
        <v>154</v>
      </c>
      <c r="F114" s="142" t="s">
        <v>1722</v>
      </c>
      <c r="I114" s="143"/>
      <c r="L114" s="33"/>
      <c r="M114" s="144"/>
      <c r="T114" s="54"/>
      <c r="AT114" s="18" t="s">
        <v>154</v>
      </c>
      <c r="AU114" s="18" t="s">
        <v>86</v>
      </c>
    </row>
    <row r="115" spans="2:65" s="1" customFormat="1" ht="31.95" customHeight="1">
      <c r="B115" s="33"/>
      <c r="C115" s="128" t="s">
        <v>189</v>
      </c>
      <c r="D115" s="128" t="s">
        <v>147</v>
      </c>
      <c r="E115" s="129" t="s">
        <v>1723</v>
      </c>
      <c r="F115" s="130" t="s">
        <v>1724</v>
      </c>
      <c r="G115" s="131" t="s">
        <v>308</v>
      </c>
      <c r="H115" s="132">
        <v>19</v>
      </c>
      <c r="I115" s="133"/>
      <c r="J115" s="134">
        <f>ROUND(I115*H115,2)</f>
        <v>0</v>
      </c>
      <c r="K115" s="130" t="s">
        <v>151</v>
      </c>
      <c r="L115" s="33"/>
      <c r="M115" s="135" t="s">
        <v>19</v>
      </c>
      <c r="N115" s="136" t="s">
        <v>47</v>
      </c>
      <c r="P115" s="137">
        <f>O115*H115</f>
        <v>0</v>
      </c>
      <c r="Q115" s="137">
        <v>0.00012</v>
      </c>
      <c r="R115" s="137">
        <f>Q115*H115</f>
        <v>0.00228</v>
      </c>
      <c r="S115" s="137">
        <v>0</v>
      </c>
      <c r="T115" s="138">
        <f>S115*H115</f>
        <v>0</v>
      </c>
      <c r="AR115" s="139" t="s">
        <v>632</v>
      </c>
      <c r="AT115" s="139" t="s">
        <v>147</v>
      </c>
      <c r="AU115" s="139" t="s">
        <v>86</v>
      </c>
      <c r="AY115" s="18" t="s">
        <v>144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84</v>
      </c>
      <c r="BK115" s="140">
        <f>ROUND(I115*H115,2)</f>
        <v>0</v>
      </c>
      <c r="BL115" s="18" t="s">
        <v>632</v>
      </c>
      <c r="BM115" s="139" t="s">
        <v>1725</v>
      </c>
    </row>
    <row r="116" spans="2:47" s="1" customFormat="1" ht="12">
      <c r="B116" s="33"/>
      <c r="D116" s="141" t="s">
        <v>154</v>
      </c>
      <c r="F116" s="142" t="s">
        <v>1726</v>
      </c>
      <c r="I116" s="143"/>
      <c r="L116" s="33"/>
      <c r="M116" s="192"/>
      <c r="N116" s="149"/>
      <c r="O116" s="149"/>
      <c r="P116" s="149"/>
      <c r="Q116" s="149"/>
      <c r="R116" s="149"/>
      <c r="S116" s="149"/>
      <c r="T116" s="193"/>
      <c r="AT116" s="18" t="s">
        <v>154</v>
      </c>
      <c r="AU116" s="18" t="s">
        <v>86</v>
      </c>
    </row>
    <row r="117" spans="2:12" s="1" customFormat="1" ht="6.9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3"/>
    </row>
  </sheetData>
  <sheetProtection algorithmName="SHA-512" hashValue="2OYScjzWUK8taOYyUMiLbPQB2k0eYXoVJfBOm+Ab257+AIZQNMVWalwAkR8x6QQLoUFQ3KA61y1LQ6JKByJXqw==" saltValue="5lAcFQhajyFYR1Quu8LM4zuIP1Jb0F27KP2OekBmeey74CNkvD3nEIp3hCUg0iLuHtRqWqBFXL+Z1mylYKUkMQ==" spinCount="100000" sheet="1" objects="1" scenarios="1" formatColumns="0" formatRows="0" autoFilter="0"/>
  <autoFilter ref="C82:K11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2/119001421"/>
    <hyperlink ref="F91" r:id="rId2" display="https://podminky.urs.cz/item/CS_URS_2022_02/132212131"/>
    <hyperlink ref="F95" r:id="rId3" display="https://podminky.urs.cz/item/CS_URS_2022_02/162351103"/>
    <hyperlink ref="F100" r:id="rId4" display="https://podminky.urs.cz/item/CS_URS_2022_02/167151111"/>
    <hyperlink ref="F104" r:id="rId5" display="https://podminky.urs.cz/item/CS_URS_2022_02/171251201"/>
    <hyperlink ref="F108" r:id="rId6" display="https://podminky.urs.cz/item/CS_URS_2022_02/174151101"/>
    <hyperlink ref="F114" r:id="rId7" display="https://podminky.urs.cz/item/CS_URS_2022_02/460661114"/>
    <hyperlink ref="F116" r:id="rId8" display="https://podminky.urs.cz/item/CS_URS_2022_02/4606711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OutlineSymbols="0" workbookViewId="0" topLeftCell="A1">
      <selection activeCell="G33" sqref="G33:I33"/>
    </sheetView>
  </sheetViews>
  <sheetFormatPr defaultColWidth="14.140625" defaultRowHeight="15" customHeight="1"/>
  <cols>
    <col min="1" max="1" width="10.7109375" style="285" customWidth="1"/>
    <col min="2" max="2" width="15.00390625" style="285" customWidth="1"/>
    <col min="3" max="3" width="31.7109375" style="285" customWidth="1"/>
    <col min="4" max="4" width="11.7109375" style="285" customWidth="1"/>
    <col min="5" max="5" width="16.28125" style="285" customWidth="1"/>
    <col min="6" max="6" width="31.7109375" style="285" customWidth="1"/>
    <col min="7" max="7" width="10.7109375" style="285" customWidth="1"/>
    <col min="8" max="8" width="15.00390625" style="285" customWidth="1"/>
    <col min="9" max="9" width="31.7109375" style="285" customWidth="1"/>
    <col min="10" max="256" width="14.140625" style="285" customWidth="1"/>
    <col min="257" max="257" width="10.7109375" style="285" customWidth="1"/>
    <col min="258" max="258" width="15.00390625" style="285" customWidth="1"/>
    <col min="259" max="259" width="31.7109375" style="285" customWidth="1"/>
    <col min="260" max="260" width="11.7109375" style="285" customWidth="1"/>
    <col min="261" max="261" width="16.28125" style="285" customWidth="1"/>
    <col min="262" max="262" width="31.7109375" style="285" customWidth="1"/>
    <col min="263" max="263" width="10.7109375" style="285" customWidth="1"/>
    <col min="264" max="264" width="15.00390625" style="285" customWidth="1"/>
    <col min="265" max="265" width="31.7109375" style="285" customWidth="1"/>
    <col min="266" max="512" width="14.140625" style="285" customWidth="1"/>
    <col min="513" max="513" width="10.7109375" style="285" customWidth="1"/>
    <col min="514" max="514" width="15.00390625" style="285" customWidth="1"/>
    <col min="515" max="515" width="31.7109375" style="285" customWidth="1"/>
    <col min="516" max="516" width="11.7109375" style="285" customWidth="1"/>
    <col min="517" max="517" width="16.28125" style="285" customWidth="1"/>
    <col min="518" max="518" width="31.7109375" style="285" customWidth="1"/>
    <col min="519" max="519" width="10.7109375" style="285" customWidth="1"/>
    <col min="520" max="520" width="15.00390625" style="285" customWidth="1"/>
    <col min="521" max="521" width="31.7109375" style="285" customWidth="1"/>
    <col min="522" max="768" width="14.140625" style="285" customWidth="1"/>
    <col min="769" max="769" width="10.7109375" style="285" customWidth="1"/>
    <col min="770" max="770" width="15.00390625" style="285" customWidth="1"/>
    <col min="771" max="771" width="31.7109375" style="285" customWidth="1"/>
    <col min="772" max="772" width="11.7109375" style="285" customWidth="1"/>
    <col min="773" max="773" width="16.28125" style="285" customWidth="1"/>
    <col min="774" max="774" width="31.7109375" style="285" customWidth="1"/>
    <col min="775" max="775" width="10.7109375" style="285" customWidth="1"/>
    <col min="776" max="776" width="15.00390625" style="285" customWidth="1"/>
    <col min="777" max="777" width="31.7109375" style="285" customWidth="1"/>
    <col min="778" max="1024" width="14.140625" style="285" customWidth="1"/>
    <col min="1025" max="1025" width="10.7109375" style="285" customWidth="1"/>
    <col min="1026" max="1026" width="15.00390625" style="285" customWidth="1"/>
    <col min="1027" max="1027" width="31.7109375" style="285" customWidth="1"/>
    <col min="1028" max="1028" width="11.7109375" style="285" customWidth="1"/>
    <col min="1029" max="1029" width="16.28125" style="285" customWidth="1"/>
    <col min="1030" max="1030" width="31.7109375" style="285" customWidth="1"/>
    <col min="1031" max="1031" width="10.7109375" style="285" customWidth="1"/>
    <col min="1032" max="1032" width="15.00390625" style="285" customWidth="1"/>
    <col min="1033" max="1033" width="31.7109375" style="285" customWidth="1"/>
    <col min="1034" max="1280" width="14.140625" style="285" customWidth="1"/>
    <col min="1281" max="1281" width="10.7109375" style="285" customWidth="1"/>
    <col min="1282" max="1282" width="15.00390625" style="285" customWidth="1"/>
    <col min="1283" max="1283" width="31.7109375" style="285" customWidth="1"/>
    <col min="1284" max="1284" width="11.7109375" style="285" customWidth="1"/>
    <col min="1285" max="1285" width="16.28125" style="285" customWidth="1"/>
    <col min="1286" max="1286" width="31.7109375" style="285" customWidth="1"/>
    <col min="1287" max="1287" width="10.7109375" style="285" customWidth="1"/>
    <col min="1288" max="1288" width="15.00390625" style="285" customWidth="1"/>
    <col min="1289" max="1289" width="31.7109375" style="285" customWidth="1"/>
    <col min="1290" max="1536" width="14.140625" style="285" customWidth="1"/>
    <col min="1537" max="1537" width="10.7109375" style="285" customWidth="1"/>
    <col min="1538" max="1538" width="15.00390625" style="285" customWidth="1"/>
    <col min="1539" max="1539" width="31.7109375" style="285" customWidth="1"/>
    <col min="1540" max="1540" width="11.7109375" style="285" customWidth="1"/>
    <col min="1541" max="1541" width="16.28125" style="285" customWidth="1"/>
    <col min="1542" max="1542" width="31.7109375" style="285" customWidth="1"/>
    <col min="1543" max="1543" width="10.7109375" style="285" customWidth="1"/>
    <col min="1544" max="1544" width="15.00390625" style="285" customWidth="1"/>
    <col min="1545" max="1545" width="31.7109375" style="285" customWidth="1"/>
    <col min="1546" max="1792" width="14.140625" style="285" customWidth="1"/>
    <col min="1793" max="1793" width="10.7109375" style="285" customWidth="1"/>
    <col min="1794" max="1794" width="15.00390625" style="285" customWidth="1"/>
    <col min="1795" max="1795" width="31.7109375" style="285" customWidth="1"/>
    <col min="1796" max="1796" width="11.7109375" style="285" customWidth="1"/>
    <col min="1797" max="1797" width="16.28125" style="285" customWidth="1"/>
    <col min="1798" max="1798" width="31.7109375" style="285" customWidth="1"/>
    <col min="1799" max="1799" width="10.7109375" style="285" customWidth="1"/>
    <col min="1800" max="1800" width="15.00390625" style="285" customWidth="1"/>
    <col min="1801" max="1801" width="31.7109375" style="285" customWidth="1"/>
    <col min="1802" max="2048" width="14.140625" style="285" customWidth="1"/>
    <col min="2049" max="2049" width="10.7109375" style="285" customWidth="1"/>
    <col min="2050" max="2050" width="15.00390625" style="285" customWidth="1"/>
    <col min="2051" max="2051" width="31.7109375" style="285" customWidth="1"/>
    <col min="2052" max="2052" width="11.7109375" style="285" customWidth="1"/>
    <col min="2053" max="2053" width="16.28125" style="285" customWidth="1"/>
    <col min="2054" max="2054" width="31.7109375" style="285" customWidth="1"/>
    <col min="2055" max="2055" width="10.7109375" style="285" customWidth="1"/>
    <col min="2056" max="2056" width="15.00390625" style="285" customWidth="1"/>
    <col min="2057" max="2057" width="31.7109375" style="285" customWidth="1"/>
    <col min="2058" max="2304" width="14.140625" style="285" customWidth="1"/>
    <col min="2305" max="2305" width="10.7109375" style="285" customWidth="1"/>
    <col min="2306" max="2306" width="15.00390625" style="285" customWidth="1"/>
    <col min="2307" max="2307" width="31.7109375" style="285" customWidth="1"/>
    <col min="2308" max="2308" width="11.7109375" style="285" customWidth="1"/>
    <col min="2309" max="2309" width="16.28125" style="285" customWidth="1"/>
    <col min="2310" max="2310" width="31.7109375" style="285" customWidth="1"/>
    <col min="2311" max="2311" width="10.7109375" style="285" customWidth="1"/>
    <col min="2312" max="2312" width="15.00390625" style="285" customWidth="1"/>
    <col min="2313" max="2313" width="31.7109375" style="285" customWidth="1"/>
    <col min="2314" max="2560" width="14.140625" style="285" customWidth="1"/>
    <col min="2561" max="2561" width="10.7109375" style="285" customWidth="1"/>
    <col min="2562" max="2562" width="15.00390625" style="285" customWidth="1"/>
    <col min="2563" max="2563" width="31.7109375" style="285" customWidth="1"/>
    <col min="2564" max="2564" width="11.7109375" style="285" customWidth="1"/>
    <col min="2565" max="2565" width="16.28125" style="285" customWidth="1"/>
    <col min="2566" max="2566" width="31.7109375" style="285" customWidth="1"/>
    <col min="2567" max="2567" width="10.7109375" style="285" customWidth="1"/>
    <col min="2568" max="2568" width="15.00390625" style="285" customWidth="1"/>
    <col min="2569" max="2569" width="31.7109375" style="285" customWidth="1"/>
    <col min="2570" max="2816" width="14.140625" style="285" customWidth="1"/>
    <col min="2817" max="2817" width="10.7109375" style="285" customWidth="1"/>
    <col min="2818" max="2818" width="15.00390625" style="285" customWidth="1"/>
    <col min="2819" max="2819" width="31.7109375" style="285" customWidth="1"/>
    <col min="2820" max="2820" width="11.7109375" style="285" customWidth="1"/>
    <col min="2821" max="2821" width="16.28125" style="285" customWidth="1"/>
    <col min="2822" max="2822" width="31.7109375" style="285" customWidth="1"/>
    <col min="2823" max="2823" width="10.7109375" style="285" customWidth="1"/>
    <col min="2824" max="2824" width="15.00390625" style="285" customWidth="1"/>
    <col min="2825" max="2825" width="31.7109375" style="285" customWidth="1"/>
    <col min="2826" max="3072" width="14.140625" style="285" customWidth="1"/>
    <col min="3073" max="3073" width="10.7109375" style="285" customWidth="1"/>
    <col min="3074" max="3074" width="15.00390625" style="285" customWidth="1"/>
    <col min="3075" max="3075" width="31.7109375" style="285" customWidth="1"/>
    <col min="3076" max="3076" width="11.7109375" style="285" customWidth="1"/>
    <col min="3077" max="3077" width="16.28125" style="285" customWidth="1"/>
    <col min="3078" max="3078" width="31.7109375" style="285" customWidth="1"/>
    <col min="3079" max="3079" width="10.7109375" style="285" customWidth="1"/>
    <col min="3080" max="3080" width="15.00390625" style="285" customWidth="1"/>
    <col min="3081" max="3081" width="31.7109375" style="285" customWidth="1"/>
    <col min="3082" max="3328" width="14.140625" style="285" customWidth="1"/>
    <col min="3329" max="3329" width="10.7109375" style="285" customWidth="1"/>
    <col min="3330" max="3330" width="15.00390625" style="285" customWidth="1"/>
    <col min="3331" max="3331" width="31.7109375" style="285" customWidth="1"/>
    <col min="3332" max="3332" width="11.7109375" style="285" customWidth="1"/>
    <col min="3333" max="3333" width="16.28125" style="285" customWidth="1"/>
    <col min="3334" max="3334" width="31.7109375" style="285" customWidth="1"/>
    <col min="3335" max="3335" width="10.7109375" style="285" customWidth="1"/>
    <col min="3336" max="3336" width="15.00390625" style="285" customWidth="1"/>
    <col min="3337" max="3337" width="31.7109375" style="285" customWidth="1"/>
    <col min="3338" max="3584" width="14.140625" style="285" customWidth="1"/>
    <col min="3585" max="3585" width="10.7109375" style="285" customWidth="1"/>
    <col min="3586" max="3586" width="15.00390625" style="285" customWidth="1"/>
    <col min="3587" max="3587" width="31.7109375" style="285" customWidth="1"/>
    <col min="3588" max="3588" width="11.7109375" style="285" customWidth="1"/>
    <col min="3589" max="3589" width="16.28125" style="285" customWidth="1"/>
    <col min="3590" max="3590" width="31.7109375" style="285" customWidth="1"/>
    <col min="3591" max="3591" width="10.7109375" style="285" customWidth="1"/>
    <col min="3592" max="3592" width="15.00390625" style="285" customWidth="1"/>
    <col min="3593" max="3593" width="31.7109375" style="285" customWidth="1"/>
    <col min="3594" max="3840" width="14.140625" style="285" customWidth="1"/>
    <col min="3841" max="3841" width="10.7109375" style="285" customWidth="1"/>
    <col min="3842" max="3842" width="15.00390625" style="285" customWidth="1"/>
    <col min="3843" max="3843" width="31.7109375" style="285" customWidth="1"/>
    <col min="3844" max="3844" width="11.7109375" style="285" customWidth="1"/>
    <col min="3845" max="3845" width="16.28125" style="285" customWidth="1"/>
    <col min="3846" max="3846" width="31.7109375" style="285" customWidth="1"/>
    <col min="3847" max="3847" width="10.7109375" style="285" customWidth="1"/>
    <col min="3848" max="3848" width="15.00390625" style="285" customWidth="1"/>
    <col min="3849" max="3849" width="31.7109375" style="285" customWidth="1"/>
    <col min="3850" max="4096" width="14.140625" style="285" customWidth="1"/>
    <col min="4097" max="4097" width="10.7109375" style="285" customWidth="1"/>
    <col min="4098" max="4098" width="15.00390625" style="285" customWidth="1"/>
    <col min="4099" max="4099" width="31.7109375" style="285" customWidth="1"/>
    <col min="4100" max="4100" width="11.7109375" style="285" customWidth="1"/>
    <col min="4101" max="4101" width="16.28125" style="285" customWidth="1"/>
    <col min="4102" max="4102" width="31.7109375" style="285" customWidth="1"/>
    <col min="4103" max="4103" width="10.7109375" style="285" customWidth="1"/>
    <col min="4104" max="4104" width="15.00390625" style="285" customWidth="1"/>
    <col min="4105" max="4105" width="31.7109375" style="285" customWidth="1"/>
    <col min="4106" max="4352" width="14.140625" style="285" customWidth="1"/>
    <col min="4353" max="4353" width="10.7109375" style="285" customWidth="1"/>
    <col min="4354" max="4354" width="15.00390625" style="285" customWidth="1"/>
    <col min="4355" max="4355" width="31.7109375" style="285" customWidth="1"/>
    <col min="4356" max="4356" width="11.7109375" style="285" customWidth="1"/>
    <col min="4357" max="4357" width="16.28125" style="285" customWidth="1"/>
    <col min="4358" max="4358" width="31.7109375" style="285" customWidth="1"/>
    <col min="4359" max="4359" width="10.7109375" style="285" customWidth="1"/>
    <col min="4360" max="4360" width="15.00390625" style="285" customWidth="1"/>
    <col min="4361" max="4361" width="31.7109375" style="285" customWidth="1"/>
    <col min="4362" max="4608" width="14.140625" style="285" customWidth="1"/>
    <col min="4609" max="4609" width="10.7109375" style="285" customWidth="1"/>
    <col min="4610" max="4610" width="15.00390625" style="285" customWidth="1"/>
    <col min="4611" max="4611" width="31.7109375" style="285" customWidth="1"/>
    <col min="4612" max="4612" width="11.7109375" style="285" customWidth="1"/>
    <col min="4613" max="4613" width="16.28125" style="285" customWidth="1"/>
    <col min="4614" max="4614" width="31.7109375" style="285" customWidth="1"/>
    <col min="4615" max="4615" width="10.7109375" style="285" customWidth="1"/>
    <col min="4616" max="4616" width="15.00390625" style="285" customWidth="1"/>
    <col min="4617" max="4617" width="31.7109375" style="285" customWidth="1"/>
    <col min="4618" max="4864" width="14.140625" style="285" customWidth="1"/>
    <col min="4865" max="4865" width="10.7109375" style="285" customWidth="1"/>
    <col min="4866" max="4866" width="15.00390625" style="285" customWidth="1"/>
    <col min="4867" max="4867" width="31.7109375" style="285" customWidth="1"/>
    <col min="4868" max="4868" width="11.7109375" style="285" customWidth="1"/>
    <col min="4869" max="4869" width="16.28125" style="285" customWidth="1"/>
    <col min="4870" max="4870" width="31.7109375" style="285" customWidth="1"/>
    <col min="4871" max="4871" width="10.7109375" style="285" customWidth="1"/>
    <col min="4872" max="4872" width="15.00390625" style="285" customWidth="1"/>
    <col min="4873" max="4873" width="31.7109375" style="285" customWidth="1"/>
    <col min="4874" max="5120" width="14.140625" style="285" customWidth="1"/>
    <col min="5121" max="5121" width="10.7109375" style="285" customWidth="1"/>
    <col min="5122" max="5122" width="15.00390625" style="285" customWidth="1"/>
    <col min="5123" max="5123" width="31.7109375" style="285" customWidth="1"/>
    <col min="5124" max="5124" width="11.7109375" style="285" customWidth="1"/>
    <col min="5125" max="5125" width="16.28125" style="285" customWidth="1"/>
    <col min="5126" max="5126" width="31.7109375" style="285" customWidth="1"/>
    <col min="5127" max="5127" width="10.7109375" style="285" customWidth="1"/>
    <col min="5128" max="5128" width="15.00390625" style="285" customWidth="1"/>
    <col min="5129" max="5129" width="31.7109375" style="285" customWidth="1"/>
    <col min="5130" max="5376" width="14.140625" style="285" customWidth="1"/>
    <col min="5377" max="5377" width="10.7109375" style="285" customWidth="1"/>
    <col min="5378" max="5378" width="15.00390625" style="285" customWidth="1"/>
    <col min="5379" max="5379" width="31.7109375" style="285" customWidth="1"/>
    <col min="5380" max="5380" width="11.7109375" style="285" customWidth="1"/>
    <col min="5381" max="5381" width="16.28125" style="285" customWidth="1"/>
    <col min="5382" max="5382" width="31.7109375" style="285" customWidth="1"/>
    <col min="5383" max="5383" width="10.7109375" style="285" customWidth="1"/>
    <col min="5384" max="5384" width="15.00390625" style="285" customWidth="1"/>
    <col min="5385" max="5385" width="31.7109375" style="285" customWidth="1"/>
    <col min="5386" max="5632" width="14.140625" style="285" customWidth="1"/>
    <col min="5633" max="5633" width="10.7109375" style="285" customWidth="1"/>
    <col min="5634" max="5634" width="15.00390625" style="285" customWidth="1"/>
    <col min="5635" max="5635" width="31.7109375" style="285" customWidth="1"/>
    <col min="5636" max="5636" width="11.7109375" style="285" customWidth="1"/>
    <col min="5637" max="5637" width="16.28125" style="285" customWidth="1"/>
    <col min="5638" max="5638" width="31.7109375" style="285" customWidth="1"/>
    <col min="5639" max="5639" width="10.7109375" style="285" customWidth="1"/>
    <col min="5640" max="5640" width="15.00390625" style="285" customWidth="1"/>
    <col min="5641" max="5641" width="31.7109375" style="285" customWidth="1"/>
    <col min="5642" max="5888" width="14.140625" style="285" customWidth="1"/>
    <col min="5889" max="5889" width="10.7109375" style="285" customWidth="1"/>
    <col min="5890" max="5890" width="15.00390625" style="285" customWidth="1"/>
    <col min="5891" max="5891" width="31.7109375" style="285" customWidth="1"/>
    <col min="5892" max="5892" width="11.7109375" style="285" customWidth="1"/>
    <col min="5893" max="5893" width="16.28125" style="285" customWidth="1"/>
    <col min="5894" max="5894" width="31.7109375" style="285" customWidth="1"/>
    <col min="5895" max="5895" width="10.7109375" style="285" customWidth="1"/>
    <col min="5896" max="5896" width="15.00390625" style="285" customWidth="1"/>
    <col min="5897" max="5897" width="31.7109375" style="285" customWidth="1"/>
    <col min="5898" max="6144" width="14.140625" style="285" customWidth="1"/>
    <col min="6145" max="6145" width="10.7109375" style="285" customWidth="1"/>
    <col min="6146" max="6146" width="15.00390625" style="285" customWidth="1"/>
    <col min="6147" max="6147" width="31.7109375" style="285" customWidth="1"/>
    <col min="6148" max="6148" width="11.7109375" style="285" customWidth="1"/>
    <col min="6149" max="6149" width="16.28125" style="285" customWidth="1"/>
    <col min="6150" max="6150" width="31.7109375" style="285" customWidth="1"/>
    <col min="6151" max="6151" width="10.7109375" style="285" customWidth="1"/>
    <col min="6152" max="6152" width="15.00390625" style="285" customWidth="1"/>
    <col min="6153" max="6153" width="31.7109375" style="285" customWidth="1"/>
    <col min="6154" max="6400" width="14.140625" style="285" customWidth="1"/>
    <col min="6401" max="6401" width="10.7109375" style="285" customWidth="1"/>
    <col min="6402" max="6402" width="15.00390625" style="285" customWidth="1"/>
    <col min="6403" max="6403" width="31.7109375" style="285" customWidth="1"/>
    <col min="6404" max="6404" width="11.7109375" style="285" customWidth="1"/>
    <col min="6405" max="6405" width="16.28125" style="285" customWidth="1"/>
    <col min="6406" max="6406" width="31.7109375" style="285" customWidth="1"/>
    <col min="6407" max="6407" width="10.7109375" style="285" customWidth="1"/>
    <col min="6408" max="6408" width="15.00390625" style="285" customWidth="1"/>
    <col min="6409" max="6409" width="31.7109375" style="285" customWidth="1"/>
    <col min="6410" max="6656" width="14.140625" style="285" customWidth="1"/>
    <col min="6657" max="6657" width="10.7109375" style="285" customWidth="1"/>
    <col min="6658" max="6658" width="15.00390625" style="285" customWidth="1"/>
    <col min="6659" max="6659" width="31.7109375" style="285" customWidth="1"/>
    <col min="6660" max="6660" width="11.7109375" style="285" customWidth="1"/>
    <col min="6661" max="6661" width="16.28125" style="285" customWidth="1"/>
    <col min="6662" max="6662" width="31.7109375" style="285" customWidth="1"/>
    <col min="6663" max="6663" width="10.7109375" style="285" customWidth="1"/>
    <col min="6664" max="6664" width="15.00390625" style="285" customWidth="1"/>
    <col min="6665" max="6665" width="31.7109375" style="285" customWidth="1"/>
    <col min="6666" max="6912" width="14.140625" style="285" customWidth="1"/>
    <col min="6913" max="6913" width="10.7109375" style="285" customWidth="1"/>
    <col min="6914" max="6914" width="15.00390625" style="285" customWidth="1"/>
    <col min="6915" max="6915" width="31.7109375" style="285" customWidth="1"/>
    <col min="6916" max="6916" width="11.7109375" style="285" customWidth="1"/>
    <col min="6917" max="6917" width="16.28125" style="285" customWidth="1"/>
    <col min="6918" max="6918" width="31.7109375" style="285" customWidth="1"/>
    <col min="6919" max="6919" width="10.7109375" style="285" customWidth="1"/>
    <col min="6920" max="6920" width="15.00390625" style="285" customWidth="1"/>
    <col min="6921" max="6921" width="31.7109375" style="285" customWidth="1"/>
    <col min="6922" max="7168" width="14.140625" style="285" customWidth="1"/>
    <col min="7169" max="7169" width="10.7109375" style="285" customWidth="1"/>
    <col min="7170" max="7170" width="15.00390625" style="285" customWidth="1"/>
    <col min="7171" max="7171" width="31.7109375" style="285" customWidth="1"/>
    <col min="7172" max="7172" width="11.7109375" style="285" customWidth="1"/>
    <col min="7173" max="7173" width="16.28125" style="285" customWidth="1"/>
    <col min="7174" max="7174" width="31.7109375" style="285" customWidth="1"/>
    <col min="7175" max="7175" width="10.7109375" style="285" customWidth="1"/>
    <col min="7176" max="7176" width="15.00390625" style="285" customWidth="1"/>
    <col min="7177" max="7177" width="31.7109375" style="285" customWidth="1"/>
    <col min="7178" max="7424" width="14.140625" style="285" customWidth="1"/>
    <col min="7425" max="7425" width="10.7109375" style="285" customWidth="1"/>
    <col min="7426" max="7426" width="15.00390625" style="285" customWidth="1"/>
    <col min="7427" max="7427" width="31.7109375" style="285" customWidth="1"/>
    <col min="7428" max="7428" width="11.7109375" style="285" customWidth="1"/>
    <col min="7429" max="7429" width="16.28125" style="285" customWidth="1"/>
    <col min="7430" max="7430" width="31.7109375" style="285" customWidth="1"/>
    <col min="7431" max="7431" width="10.7109375" style="285" customWidth="1"/>
    <col min="7432" max="7432" width="15.00390625" style="285" customWidth="1"/>
    <col min="7433" max="7433" width="31.7109375" style="285" customWidth="1"/>
    <col min="7434" max="7680" width="14.140625" style="285" customWidth="1"/>
    <col min="7681" max="7681" width="10.7109375" style="285" customWidth="1"/>
    <col min="7682" max="7682" width="15.00390625" style="285" customWidth="1"/>
    <col min="7683" max="7683" width="31.7109375" style="285" customWidth="1"/>
    <col min="7684" max="7684" width="11.7109375" style="285" customWidth="1"/>
    <col min="7685" max="7685" width="16.28125" style="285" customWidth="1"/>
    <col min="7686" max="7686" width="31.7109375" style="285" customWidth="1"/>
    <col min="7687" max="7687" width="10.7109375" style="285" customWidth="1"/>
    <col min="7688" max="7688" width="15.00390625" style="285" customWidth="1"/>
    <col min="7689" max="7689" width="31.7109375" style="285" customWidth="1"/>
    <col min="7690" max="7936" width="14.140625" style="285" customWidth="1"/>
    <col min="7937" max="7937" width="10.7109375" style="285" customWidth="1"/>
    <col min="7938" max="7938" width="15.00390625" style="285" customWidth="1"/>
    <col min="7939" max="7939" width="31.7109375" style="285" customWidth="1"/>
    <col min="7940" max="7940" width="11.7109375" style="285" customWidth="1"/>
    <col min="7941" max="7941" width="16.28125" style="285" customWidth="1"/>
    <col min="7942" max="7942" width="31.7109375" style="285" customWidth="1"/>
    <col min="7943" max="7943" width="10.7109375" style="285" customWidth="1"/>
    <col min="7944" max="7944" width="15.00390625" style="285" customWidth="1"/>
    <col min="7945" max="7945" width="31.7109375" style="285" customWidth="1"/>
    <col min="7946" max="8192" width="14.140625" style="285" customWidth="1"/>
    <col min="8193" max="8193" width="10.7109375" style="285" customWidth="1"/>
    <col min="8194" max="8194" width="15.00390625" style="285" customWidth="1"/>
    <col min="8195" max="8195" width="31.7109375" style="285" customWidth="1"/>
    <col min="8196" max="8196" width="11.7109375" style="285" customWidth="1"/>
    <col min="8197" max="8197" width="16.28125" style="285" customWidth="1"/>
    <col min="8198" max="8198" width="31.7109375" style="285" customWidth="1"/>
    <col min="8199" max="8199" width="10.7109375" style="285" customWidth="1"/>
    <col min="8200" max="8200" width="15.00390625" style="285" customWidth="1"/>
    <col min="8201" max="8201" width="31.7109375" style="285" customWidth="1"/>
    <col min="8202" max="8448" width="14.140625" style="285" customWidth="1"/>
    <col min="8449" max="8449" width="10.7109375" style="285" customWidth="1"/>
    <col min="8450" max="8450" width="15.00390625" style="285" customWidth="1"/>
    <col min="8451" max="8451" width="31.7109375" style="285" customWidth="1"/>
    <col min="8452" max="8452" width="11.7109375" style="285" customWidth="1"/>
    <col min="8453" max="8453" width="16.28125" style="285" customWidth="1"/>
    <col min="8454" max="8454" width="31.7109375" style="285" customWidth="1"/>
    <col min="8455" max="8455" width="10.7109375" style="285" customWidth="1"/>
    <col min="8456" max="8456" width="15.00390625" style="285" customWidth="1"/>
    <col min="8457" max="8457" width="31.7109375" style="285" customWidth="1"/>
    <col min="8458" max="8704" width="14.140625" style="285" customWidth="1"/>
    <col min="8705" max="8705" width="10.7109375" style="285" customWidth="1"/>
    <col min="8706" max="8706" width="15.00390625" style="285" customWidth="1"/>
    <col min="8707" max="8707" width="31.7109375" style="285" customWidth="1"/>
    <col min="8708" max="8708" width="11.7109375" style="285" customWidth="1"/>
    <col min="8709" max="8709" width="16.28125" style="285" customWidth="1"/>
    <col min="8710" max="8710" width="31.7109375" style="285" customWidth="1"/>
    <col min="8711" max="8711" width="10.7109375" style="285" customWidth="1"/>
    <col min="8712" max="8712" width="15.00390625" style="285" customWidth="1"/>
    <col min="8713" max="8713" width="31.7109375" style="285" customWidth="1"/>
    <col min="8714" max="8960" width="14.140625" style="285" customWidth="1"/>
    <col min="8961" max="8961" width="10.7109375" style="285" customWidth="1"/>
    <col min="8962" max="8962" width="15.00390625" style="285" customWidth="1"/>
    <col min="8963" max="8963" width="31.7109375" style="285" customWidth="1"/>
    <col min="8964" max="8964" width="11.7109375" style="285" customWidth="1"/>
    <col min="8965" max="8965" width="16.28125" style="285" customWidth="1"/>
    <col min="8966" max="8966" width="31.7109375" style="285" customWidth="1"/>
    <col min="8967" max="8967" width="10.7109375" style="285" customWidth="1"/>
    <col min="8968" max="8968" width="15.00390625" style="285" customWidth="1"/>
    <col min="8969" max="8969" width="31.7109375" style="285" customWidth="1"/>
    <col min="8970" max="9216" width="14.140625" style="285" customWidth="1"/>
    <col min="9217" max="9217" width="10.7109375" style="285" customWidth="1"/>
    <col min="9218" max="9218" width="15.00390625" style="285" customWidth="1"/>
    <col min="9219" max="9219" width="31.7109375" style="285" customWidth="1"/>
    <col min="9220" max="9220" width="11.7109375" style="285" customWidth="1"/>
    <col min="9221" max="9221" width="16.28125" style="285" customWidth="1"/>
    <col min="9222" max="9222" width="31.7109375" style="285" customWidth="1"/>
    <col min="9223" max="9223" width="10.7109375" style="285" customWidth="1"/>
    <col min="9224" max="9224" width="15.00390625" style="285" customWidth="1"/>
    <col min="9225" max="9225" width="31.7109375" style="285" customWidth="1"/>
    <col min="9226" max="9472" width="14.140625" style="285" customWidth="1"/>
    <col min="9473" max="9473" width="10.7109375" style="285" customWidth="1"/>
    <col min="9474" max="9474" width="15.00390625" style="285" customWidth="1"/>
    <col min="9475" max="9475" width="31.7109375" style="285" customWidth="1"/>
    <col min="9476" max="9476" width="11.7109375" style="285" customWidth="1"/>
    <col min="9477" max="9477" width="16.28125" style="285" customWidth="1"/>
    <col min="9478" max="9478" width="31.7109375" style="285" customWidth="1"/>
    <col min="9479" max="9479" width="10.7109375" style="285" customWidth="1"/>
    <col min="9480" max="9480" width="15.00390625" style="285" customWidth="1"/>
    <col min="9481" max="9481" width="31.7109375" style="285" customWidth="1"/>
    <col min="9482" max="9728" width="14.140625" style="285" customWidth="1"/>
    <col min="9729" max="9729" width="10.7109375" style="285" customWidth="1"/>
    <col min="9730" max="9730" width="15.00390625" style="285" customWidth="1"/>
    <col min="9731" max="9731" width="31.7109375" style="285" customWidth="1"/>
    <col min="9732" max="9732" width="11.7109375" style="285" customWidth="1"/>
    <col min="9733" max="9733" width="16.28125" style="285" customWidth="1"/>
    <col min="9734" max="9734" width="31.7109375" style="285" customWidth="1"/>
    <col min="9735" max="9735" width="10.7109375" style="285" customWidth="1"/>
    <col min="9736" max="9736" width="15.00390625" style="285" customWidth="1"/>
    <col min="9737" max="9737" width="31.7109375" style="285" customWidth="1"/>
    <col min="9738" max="9984" width="14.140625" style="285" customWidth="1"/>
    <col min="9985" max="9985" width="10.7109375" style="285" customWidth="1"/>
    <col min="9986" max="9986" width="15.00390625" style="285" customWidth="1"/>
    <col min="9987" max="9987" width="31.7109375" style="285" customWidth="1"/>
    <col min="9988" max="9988" width="11.7109375" style="285" customWidth="1"/>
    <col min="9989" max="9989" width="16.28125" style="285" customWidth="1"/>
    <col min="9990" max="9990" width="31.7109375" style="285" customWidth="1"/>
    <col min="9991" max="9991" width="10.7109375" style="285" customWidth="1"/>
    <col min="9992" max="9992" width="15.00390625" style="285" customWidth="1"/>
    <col min="9993" max="9993" width="31.7109375" style="285" customWidth="1"/>
    <col min="9994" max="10240" width="14.140625" style="285" customWidth="1"/>
    <col min="10241" max="10241" width="10.7109375" style="285" customWidth="1"/>
    <col min="10242" max="10242" width="15.00390625" style="285" customWidth="1"/>
    <col min="10243" max="10243" width="31.7109375" style="285" customWidth="1"/>
    <col min="10244" max="10244" width="11.7109375" style="285" customWidth="1"/>
    <col min="10245" max="10245" width="16.28125" style="285" customWidth="1"/>
    <col min="10246" max="10246" width="31.7109375" style="285" customWidth="1"/>
    <col min="10247" max="10247" width="10.7109375" style="285" customWidth="1"/>
    <col min="10248" max="10248" width="15.00390625" style="285" customWidth="1"/>
    <col min="10249" max="10249" width="31.7109375" style="285" customWidth="1"/>
    <col min="10250" max="10496" width="14.140625" style="285" customWidth="1"/>
    <col min="10497" max="10497" width="10.7109375" style="285" customWidth="1"/>
    <col min="10498" max="10498" width="15.00390625" style="285" customWidth="1"/>
    <col min="10499" max="10499" width="31.7109375" style="285" customWidth="1"/>
    <col min="10500" max="10500" width="11.7109375" style="285" customWidth="1"/>
    <col min="10501" max="10501" width="16.28125" style="285" customWidth="1"/>
    <col min="10502" max="10502" width="31.7109375" style="285" customWidth="1"/>
    <col min="10503" max="10503" width="10.7109375" style="285" customWidth="1"/>
    <col min="10504" max="10504" width="15.00390625" style="285" customWidth="1"/>
    <col min="10505" max="10505" width="31.7109375" style="285" customWidth="1"/>
    <col min="10506" max="10752" width="14.140625" style="285" customWidth="1"/>
    <col min="10753" max="10753" width="10.7109375" style="285" customWidth="1"/>
    <col min="10754" max="10754" width="15.00390625" style="285" customWidth="1"/>
    <col min="10755" max="10755" width="31.7109375" style="285" customWidth="1"/>
    <col min="10756" max="10756" width="11.7109375" style="285" customWidth="1"/>
    <col min="10757" max="10757" width="16.28125" style="285" customWidth="1"/>
    <col min="10758" max="10758" width="31.7109375" style="285" customWidth="1"/>
    <col min="10759" max="10759" width="10.7109375" style="285" customWidth="1"/>
    <col min="10760" max="10760" width="15.00390625" style="285" customWidth="1"/>
    <col min="10761" max="10761" width="31.7109375" style="285" customWidth="1"/>
    <col min="10762" max="11008" width="14.140625" style="285" customWidth="1"/>
    <col min="11009" max="11009" width="10.7109375" style="285" customWidth="1"/>
    <col min="11010" max="11010" width="15.00390625" style="285" customWidth="1"/>
    <col min="11011" max="11011" width="31.7109375" style="285" customWidth="1"/>
    <col min="11012" max="11012" width="11.7109375" style="285" customWidth="1"/>
    <col min="11013" max="11013" width="16.28125" style="285" customWidth="1"/>
    <col min="11014" max="11014" width="31.7109375" style="285" customWidth="1"/>
    <col min="11015" max="11015" width="10.7109375" style="285" customWidth="1"/>
    <col min="11016" max="11016" width="15.00390625" style="285" customWidth="1"/>
    <col min="11017" max="11017" width="31.7109375" style="285" customWidth="1"/>
    <col min="11018" max="11264" width="14.140625" style="285" customWidth="1"/>
    <col min="11265" max="11265" width="10.7109375" style="285" customWidth="1"/>
    <col min="11266" max="11266" width="15.00390625" style="285" customWidth="1"/>
    <col min="11267" max="11267" width="31.7109375" style="285" customWidth="1"/>
    <col min="11268" max="11268" width="11.7109375" style="285" customWidth="1"/>
    <col min="11269" max="11269" width="16.28125" style="285" customWidth="1"/>
    <col min="11270" max="11270" width="31.7109375" style="285" customWidth="1"/>
    <col min="11271" max="11271" width="10.7109375" style="285" customWidth="1"/>
    <col min="11272" max="11272" width="15.00390625" style="285" customWidth="1"/>
    <col min="11273" max="11273" width="31.7109375" style="285" customWidth="1"/>
    <col min="11274" max="11520" width="14.140625" style="285" customWidth="1"/>
    <col min="11521" max="11521" width="10.7109375" style="285" customWidth="1"/>
    <col min="11522" max="11522" width="15.00390625" style="285" customWidth="1"/>
    <col min="11523" max="11523" width="31.7109375" style="285" customWidth="1"/>
    <col min="11524" max="11524" width="11.7109375" style="285" customWidth="1"/>
    <col min="11525" max="11525" width="16.28125" style="285" customWidth="1"/>
    <col min="11526" max="11526" width="31.7109375" style="285" customWidth="1"/>
    <col min="11527" max="11527" width="10.7109375" style="285" customWidth="1"/>
    <col min="11528" max="11528" width="15.00390625" style="285" customWidth="1"/>
    <col min="11529" max="11529" width="31.7109375" style="285" customWidth="1"/>
    <col min="11530" max="11776" width="14.140625" style="285" customWidth="1"/>
    <col min="11777" max="11777" width="10.7109375" style="285" customWidth="1"/>
    <col min="11778" max="11778" width="15.00390625" style="285" customWidth="1"/>
    <col min="11779" max="11779" width="31.7109375" style="285" customWidth="1"/>
    <col min="11780" max="11780" width="11.7109375" style="285" customWidth="1"/>
    <col min="11781" max="11781" width="16.28125" style="285" customWidth="1"/>
    <col min="11782" max="11782" width="31.7109375" style="285" customWidth="1"/>
    <col min="11783" max="11783" width="10.7109375" style="285" customWidth="1"/>
    <col min="11784" max="11784" width="15.00390625" style="285" customWidth="1"/>
    <col min="11785" max="11785" width="31.7109375" style="285" customWidth="1"/>
    <col min="11786" max="12032" width="14.140625" style="285" customWidth="1"/>
    <col min="12033" max="12033" width="10.7109375" style="285" customWidth="1"/>
    <col min="12034" max="12034" width="15.00390625" style="285" customWidth="1"/>
    <col min="12035" max="12035" width="31.7109375" style="285" customWidth="1"/>
    <col min="12036" max="12036" width="11.7109375" style="285" customWidth="1"/>
    <col min="12037" max="12037" width="16.28125" style="285" customWidth="1"/>
    <col min="12038" max="12038" width="31.7109375" style="285" customWidth="1"/>
    <col min="12039" max="12039" width="10.7109375" style="285" customWidth="1"/>
    <col min="12040" max="12040" width="15.00390625" style="285" customWidth="1"/>
    <col min="12041" max="12041" width="31.7109375" style="285" customWidth="1"/>
    <col min="12042" max="12288" width="14.140625" style="285" customWidth="1"/>
    <col min="12289" max="12289" width="10.7109375" style="285" customWidth="1"/>
    <col min="12290" max="12290" width="15.00390625" style="285" customWidth="1"/>
    <col min="12291" max="12291" width="31.7109375" style="285" customWidth="1"/>
    <col min="12292" max="12292" width="11.7109375" style="285" customWidth="1"/>
    <col min="12293" max="12293" width="16.28125" style="285" customWidth="1"/>
    <col min="12294" max="12294" width="31.7109375" style="285" customWidth="1"/>
    <col min="12295" max="12295" width="10.7109375" style="285" customWidth="1"/>
    <col min="12296" max="12296" width="15.00390625" style="285" customWidth="1"/>
    <col min="12297" max="12297" width="31.7109375" style="285" customWidth="1"/>
    <col min="12298" max="12544" width="14.140625" style="285" customWidth="1"/>
    <col min="12545" max="12545" width="10.7109375" style="285" customWidth="1"/>
    <col min="12546" max="12546" width="15.00390625" style="285" customWidth="1"/>
    <col min="12547" max="12547" width="31.7109375" style="285" customWidth="1"/>
    <col min="12548" max="12548" width="11.7109375" style="285" customWidth="1"/>
    <col min="12549" max="12549" width="16.28125" style="285" customWidth="1"/>
    <col min="12550" max="12550" width="31.7109375" style="285" customWidth="1"/>
    <col min="12551" max="12551" width="10.7109375" style="285" customWidth="1"/>
    <col min="12552" max="12552" width="15.00390625" style="285" customWidth="1"/>
    <col min="12553" max="12553" width="31.7109375" style="285" customWidth="1"/>
    <col min="12554" max="12800" width="14.140625" style="285" customWidth="1"/>
    <col min="12801" max="12801" width="10.7109375" style="285" customWidth="1"/>
    <col min="12802" max="12802" width="15.00390625" style="285" customWidth="1"/>
    <col min="12803" max="12803" width="31.7109375" style="285" customWidth="1"/>
    <col min="12804" max="12804" width="11.7109375" style="285" customWidth="1"/>
    <col min="12805" max="12805" width="16.28125" style="285" customWidth="1"/>
    <col min="12806" max="12806" width="31.7109375" style="285" customWidth="1"/>
    <col min="12807" max="12807" width="10.7109375" style="285" customWidth="1"/>
    <col min="12808" max="12808" width="15.00390625" style="285" customWidth="1"/>
    <col min="12809" max="12809" width="31.7109375" style="285" customWidth="1"/>
    <col min="12810" max="13056" width="14.140625" style="285" customWidth="1"/>
    <col min="13057" max="13057" width="10.7109375" style="285" customWidth="1"/>
    <col min="13058" max="13058" width="15.00390625" style="285" customWidth="1"/>
    <col min="13059" max="13059" width="31.7109375" style="285" customWidth="1"/>
    <col min="13060" max="13060" width="11.7109375" style="285" customWidth="1"/>
    <col min="13061" max="13061" width="16.28125" style="285" customWidth="1"/>
    <col min="13062" max="13062" width="31.7109375" style="285" customWidth="1"/>
    <col min="13063" max="13063" width="10.7109375" style="285" customWidth="1"/>
    <col min="13064" max="13064" width="15.00390625" style="285" customWidth="1"/>
    <col min="13065" max="13065" width="31.7109375" style="285" customWidth="1"/>
    <col min="13066" max="13312" width="14.140625" style="285" customWidth="1"/>
    <col min="13313" max="13313" width="10.7109375" style="285" customWidth="1"/>
    <col min="13314" max="13314" width="15.00390625" style="285" customWidth="1"/>
    <col min="13315" max="13315" width="31.7109375" style="285" customWidth="1"/>
    <col min="13316" max="13316" width="11.7109375" style="285" customWidth="1"/>
    <col min="13317" max="13317" width="16.28125" style="285" customWidth="1"/>
    <col min="13318" max="13318" width="31.7109375" style="285" customWidth="1"/>
    <col min="13319" max="13319" width="10.7109375" style="285" customWidth="1"/>
    <col min="13320" max="13320" width="15.00390625" style="285" customWidth="1"/>
    <col min="13321" max="13321" width="31.7109375" style="285" customWidth="1"/>
    <col min="13322" max="13568" width="14.140625" style="285" customWidth="1"/>
    <col min="13569" max="13569" width="10.7109375" style="285" customWidth="1"/>
    <col min="13570" max="13570" width="15.00390625" style="285" customWidth="1"/>
    <col min="13571" max="13571" width="31.7109375" style="285" customWidth="1"/>
    <col min="13572" max="13572" width="11.7109375" style="285" customWidth="1"/>
    <col min="13573" max="13573" width="16.28125" style="285" customWidth="1"/>
    <col min="13574" max="13574" width="31.7109375" style="285" customWidth="1"/>
    <col min="13575" max="13575" width="10.7109375" style="285" customWidth="1"/>
    <col min="13576" max="13576" width="15.00390625" style="285" customWidth="1"/>
    <col min="13577" max="13577" width="31.7109375" style="285" customWidth="1"/>
    <col min="13578" max="13824" width="14.140625" style="285" customWidth="1"/>
    <col min="13825" max="13825" width="10.7109375" style="285" customWidth="1"/>
    <col min="13826" max="13826" width="15.00390625" style="285" customWidth="1"/>
    <col min="13827" max="13827" width="31.7109375" style="285" customWidth="1"/>
    <col min="13828" max="13828" width="11.7109375" style="285" customWidth="1"/>
    <col min="13829" max="13829" width="16.28125" style="285" customWidth="1"/>
    <col min="13830" max="13830" width="31.7109375" style="285" customWidth="1"/>
    <col min="13831" max="13831" width="10.7109375" style="285" customWidth="1"/>
    <col min="13832" max="13832" width="15.00390625" style="285" customWidth="1"/>
    <col min="13833" max="13833" width="31.7109375" style="285" customWidth="1"/>
    <col min="13834" max="14080" width="14.140625" style="285" customWidth="1"/>
    <col min="14081" max="14081" width="10.7109375" style="285" customWidth="1"/>
    <col min="14082" max="14082" width="15.00390625" style="285" customWidth="1"/>
    <col min="14083" max="14083" width="31.7109375" style="285" customWidth="1"/>
    <col min="14084" max="14084" width="11.7109375" style="285" customWidth="1"/>
    <col min="14085" max="14085" width="16.28125" style="285" customWidth="1"/>
    <col min="14086" max="14086" width="31.7109375" style="285" customWidth="1"/>
    <col min="14087" max="14087" width="10.7109375" style="285" customWidth="1"/>
    <col min="14088" max="14088" width="15.00390625" style="285" customWidth="1"/>
    <col min="14089" max="14089" width="31.7109375" style="285" customWidth="1"/>
    <col min="14090" max="14336" width="14.140625" style="285" customWidth="1"/>
    <col min="14337" max="14337" width="10.7109375" style="285" customWidth="1"/>
    <col min="14338" max="14338" width="15.00390625" style="285" customWidth="1"/>
    <col min="14339" max="14339" width="31.7109375" style="285" customWidth="1"/>
    <col min="14340" max="14340" width="11.7109375" style="285" customWidth="1"/>
    <col min="14341" max="14341" width="16.28125" style="285" customWidth="1"/>
    <col min="14342" max="14342" width="31.7109375" style="285" customWidth="1"/>
    <col min="14343" max="14343" width="10.7109375" style="285" customWidth="1"/>
    <col min="14344" max="14344" width="15.00390625" style="285" customWidth="1"/>
    <col min="14345" max="14345" width="31.7109375" style="285" customWidth="1"/>
    <col min="14346" max="14592" width="14.140625" style="285" customWidth="1"/>
    <col min="14593" max="14593" width="10.7109375" style="285" customWidth="1"/>
    <col min="14594" max="14594" width="15.00390625" style="285" customWidth="1"/>
    <col min="14595" max="14595" width="31.7109375" style="285" customWidth="1"/>
    <col min="14596" max="14596" width="11.7109375" style="285" customWidth="1"/>
    <col min="14597" max="14597" width="16.28125" style="285" customWidth="1"/>
    <col min="14598" max="14598" width="31.7109375" style="285" customWidth="1"/>
    <col min="14599" max="14599" width="10.7109375" style="285" customWidth="1"/>
    <col min="14600" max="14600" width="15.00390625" style="285" customWidth="1"/>
    <col min="14601" max="14601" width="31.7109375" style="285" customWidth="1"/>
    <col min="14602" max="14848" width="14.140625" style="285" customWidth="1"/>
    <col min="14849" max="14849" width="10.7109375" style="285" customWidth="1"/>
    <col min="14850" max="14850" width="15.00390625" style="285" customWidth="1"/>
    <col min="14851" max="14851" width="31.7109375" style="285" customWidth="1"/>
    <col min="14852" max="14852" width="11.7109375" style="285" customWidth="1"/>
    <col min="14853" max="14853" width="16.28125" style="285" customWidth="1"/>
    <col min="14854" max="14854" width="31.7109375" style="285" customWidth="1"/>
    <col min="14855" max="14855" width="10.7109375" style="285" customWidth="1"/>
    <col min="14856" max="14856" width="15.00390625" style="285" customWidth="1"/>
    <col min="14857" max="14857" width="31.7109375" style="285" customWidth="1"/>
    <col min="14858" max="15104" width="14.140625" style="285" customWidth="1"/>
    <col min="15105" max="15105" width="10.7109375" style="285" customWidth="1"/>
    <col min="15106" max="15106" width="15.00390625" style="285" customWidth="1"/>
    <col min="15107" max="15107" width="31.7109375" style="285" customWidth="1"/>
    <col min="15108" max="15108" width="11.7109375" style="285" customWidth="1"/>
    <col min="15109" max="15109" width="16.28125" style="285" customWidth="1"/>
    <col min="15110" max="15110" width="31.7109375" style="285" customWidth="1"/>
    <col min="15111" max="15111" width="10.7109375" style="285" customWidth="1"/>
    <col min="15112" max="15112" width="15.00390625" style="285" customWidth="1"/>
    <col min="15113" max="15113" width="31.7109375" style="285" customWidth="1"/>
    <col min="15114" max="15360" width="14.140625" style="285" customWidth="1"/>
    <col min="15361" max="15361" width="10.7109375" style="285" customWidth="1"/>
    <col min="15362" max="15362" width="15.00390625" style="285" customWidth="1"/>
    <col min="15363" max="15363" width="31.7109375" style="285" customWidth="1"/>
    <col min="15364" max="15364" width="11.7109375" style="285" customWidth="1"/>
    <col min="15365" max="15365" width="16.28125" style="285" customWidth="1"/>
    <col min="15366" max="15366" width="31.7109375" style="285" customWidth="1"/>
    <col min="15367" max="15367" width="10.7109375" style="285" customWidth="1"/>
    <col min="15368" max="15368" width="15.00390625" style="285" customWidth="1"/>
    <col min="15369" max="15369" width="31.7109375" style="285" customWidth="1"/>
    <col min="15370" max="15616" width="14.140625" style="285" customWidth="1"/>
    <col min="15617" max="15617" width="10.7109375" style="285" customWidth="1"/>
    <col min="15618" max="15618" width="15.00390625" style="285" customWidth="1"/>
    <col min="15619" max="15619" width="31.7109375" style="285" customWidth="1"/>
    <col min="15620" max="15620" width="11.7109375" style="285" customWidth="1"/>
    <col min="15621" max="15621" width="16.28125" style="285" customWidth="1"/>
    <col min="15622" max="15622" width="31.7109375" style="285" customWidth="1"/>
    <col min="15623" max="15623" width="10.7109375" style="285" customWidth="1"/>
    <col min="15624" max="15624" width="15.00390625" style="285" customWidth="1"/>
    <col min="15625" max="15625" width="31.7109375" style="285" customWidth="1"/>
    <col min="15626" max="15872" width="14.140625" style="285" customWidth="1"/>
    <col min="15873" max="15873" width="10.7109375" style="285" customWidth="1"/>
    <col min="15874" max="15874" width="15.00390625" style="285" customWidth="1"/>
    <col min="15875" max="15875" width="31.7109375" style="285" customWidth="1"/>
    <col min="15876" max="15876" width="11.7109375" style="285" customWidth="1"/>
    <col min="15877" max="15877" width="16.28125" style="285" customWidth="1"/>
    <col min="15878" max="15878" width="31.7109375" style="285" customWidth="1"/>
    <col min="15879" max="15879" width="10.7109375" style="285" customWidth="1"/>
    <col min="15880" max="15880" width="15.00390625" style="285" customWidth="1"/>
    <col min="15881" max="15881" width="31.7109375" style="285" customWidth="1"/>
    <col min="15882" max="16128" width="14.140625" style="285" customWidth="1"/>
    <col min="16129" max="16129" width="10.7109375" style="285" customWidth="1"/>
    <col min="16130" max="16130" width="15.00390625" style="285" customWidth="1"/>
    <col min="16131" max="16131" width="31.7109375" style="285" customWidth="1"/>
    <col min="16132" max="16132" width="11.7109375" style="285" customWidth="1"/>
    <col min="16133" max="16133" width="16.28125" style="285" customWidth="1"/>
    <col min="16134" max="16134" width="31.7109375" style="285" customWidth="1"/>
    <col min="16135" max="16135" width="10.7109375" style="285" customWidth="1"/>
    <col min="16136" max="16136" width="15.00390625" style="285" customWidth="1"/>
    <col min="16137" max="16137" width="31.7109375" style="285" customWidth="1"/>
    <col min="16138" max="16384" width="14.140625" style="285" customWidth="1"/>
  </cols>
  <sheetData>
    <row r="1" spans="1:9" ht="54.75" customHeight="1">
      <c r="A1" s="499" t="s">
        <v>1995</v>
      </c>
      <c r="B1" s="500"/>
      <c r="C1" s="500"/>
      <c r="D1" s="500"/>
      <c r="E1" s="500"/>
      <c r="F1" s="500"/>
      <c r="G1" s="500"/>
      <c r="H1" s="500"/>
      <c r="I1" s="500"/>
    </row>
    <row r="2" spans="1:9" ht="15" customHeight="1">
      <c r="A2" s="501" t="s">
        <v>1996</v>
      </c>
      <c r="B2" s="502"/>
      <c r="C2" s="505" t="str">
        <f>'SO 600 VO - rozpočet'!D2</f>
        <v>REGENERACE PANELOVÉHO SÍDLIŠTĚ PRIEVIDZSKÁ - 7.ETAPA</v>
      </c>
      <c r="D2" s="506"/>
      <c r="E2" s="508" t="s">
        <v>1997</v>
      </c>
      <c r="F2" s="508" t="str">
        <f>'SO 600 VO - rozpočet'!J2</f>
        <v>Město Šumperk, zastoupený MěÚ Šumperk odborem RÚI,</v>
      </c>
      <c r="G2" s="502"/>
      <c r="H2" s="508" t="s">
        <v>1998</v>
      </c>
      <c r="I2" s="509" t="s">
        <v>19</v>
      </c>
    </row>
    <row r="3" spans="1:9" ht="15" customHeight="1">
      <c r="A3" s="503"/>
      <c r="B3" s="504"/>
      <c r="C3" s="507"/>
      <c r="D3" s="507"/>
      <c r="E3" s="504"/>
      <c r="F3" s="504"/>
      <c r="G3" s="504"/>
      <c r="H3" s="504"/>
      <c r="I3" s="510"/>
    </row>
    <row r="4" spans="1:9" ht="15" customHeight="1">
      <c r="A4" s="511" t="s">
        <v>1999</v>
      </c>
      <c r="B4" s="504"/>
      <c r="C4" s="512" t="str">
        <f>'SO 600 VO - rozpočet'!D4</f>
        <v>SO 600 - Veřejné osvětlení</v>
      </c>
      <c r="D4" s="504"/>
      <c r="E4" s="512" t="s">
        <v>33</v>
      </c>
      <c r="F4" s="512" t="str">
        <f>'SO 600 VO - rozpočet'!J4</f>
        <v> </v>
      </c>
      <c r="G4" s="504"/>
      <c r="H4" s="512" t="s">
        <v>1998</v>
      </c>
      <c r="I4" s="510" t="s">
        <v>19</v>
      </c>
    </row>
    <row r="5" spans="1:9" ht="15" customHeight="1">
      <c r="A5" s="503"/>
      <c r="B5" s="504"/>
      <c r="C5" s="504"/>
      <c r="D5" s="504"/>
      <c r="E5" s="504"/>
      <c r="F5" s="504"/>
      <c r="G5" s="504"/>
      <c r="H5" s="504"/>
      <c r="I5" s="510"/>
    </row>
    <row r="6" spans="1:9" ht="15" customHeight="1">
      <c r="A6" s="511" t="s">
        <v>2000</v>
      </c>
      <c r="B6" s="504"/>
      <c r="C6" s="512" t="str">
        <f>'SO 600 VO - rozpočet'!D6</f>
        <v xml:space="preserve"> </v>
      </c>
      <c r="D6" s="504"/>
      <c r="E6" s="512" t="s">
        <v>2001</v>
      </c>
      <c r="F6" s="512" t="str">
        <f>'SO 600 VO - rozpočet'!J6</f>
        <v>Grepl</v>
      </c>
      <c r="G6" s="504"/>
      <c r="H6" s="512" t="s">
        <v>1998</v>
      </c>
      <c r="I6" s="510" t="s">
        <v>19</v>
      </c>
    </row>
    <row r="7" spans="1:9" ht="15" customHeight="1">
      <c r="A7" s="503"/>
      <c r="B7" s="504"/>
      <c r="C7" s="504"/>
      <c r="D7" s="504"/>
      <c r="E7" s="504"/>
      <c r="F7" s="504"/>
      <c r="G7" s="504"/>
      <c r="H7" s="504"/>
      <c r="I7" s="510"/>
    </row>
    <row r="8" spans="1:9" ht="15" customHeight="1">
      <c r="A8" s="511" t="s">
        <v>2002</v>
      </c>
      <c r="B8" s="504"/>
      <c r="C8" s="512" t="str">
        <f>'SO 600 VO - rozpočet'!H4</f>
        <v>19.05.2021</v>
      </c>
      <c r="D8" s="504"/>
      <c r="E8" s="512" t="s">
        <v>2003</v>
      </c>
      <c r="F8" s="512" t="str">
        <f>'SO 600 VO - rozpočet'!H6</f>
        <v xml:space="preserve"> </v>
      </c>
      <c r="G8" s="504"/>
      <c r="H8" s="504" t="s">
        <v>2004</v>
      </c>
      <c r="I8" s="515">
        <v>55</v>
      </c>
    </row>
    <row r="9" spans="1:9" ht="15" customHeight="1">
      <c r="A9" s="503"/>
      <c r="B9" s="504"/>
      <c r="C9" s="504"/>
      <c r="D9" s="504"/>
      <c r="E9" s="504"/>
      <c r="F9" s="504"/>
      <c r="G9" s="504"/>
      <c r="H9" s="504"/>
      <c r="I9" s="510"/>
    </row>
    <row r="10" spans="1:9" ht="15" customHeight="1">
      <c r="A10" s="511" t="s">
        <v>2005</v>
      </c>
      <c r="B10" s="504"/>
      <c r="C10" s="512" t="str">
        <f>'SO 600 VO - rozpočet'!D8</f>
        <v xml:space="preserve"> </v>
      </c>
      <c r="D10" s="504"/>
      <c r="E10" s="512" t="s">
        <v>2006</v>
      </c>
      <c r="F10" s="512" t="str">
        <f>'SO 600 VO - rozpočet'!J8</f>
        <v> </v>
      </c>
      <c r="G10" s="504"/>
      <c r="H10" s="504" t="s">
        <v>23</v>
      </c>
      <c r="I10" s="513" t="str">
        <f>'SO 600 VO - rozpočet'!H8</f>
        <v>19.05.2021</v>
      </c>
    </row>
    <row r="11" spans="1:9" ht="15" customHeight="1">
      <c r="A11" s="516"/>
      <c r="B11" s="517"/>
      <c r="C11" s="517"/>
      <c r="D11" s="517"/>
      <c r="E11" s="517"/>
      <c r="F11" s="517"/>
      <c r="G11" s="517"/>
      <c r="H11" s="517"/>
      <c r="I11" s="514"/>
    </row>
    <row r="12" spans="1:9" ht="22.5" customHeight="1">
      <c r="A12" s="518" t="s">
        <v>2007</v>
      </c>
      <c r="B12" s="518"/>
      <c r="C12" s="518"/>
      <c r="D12" s="518"/>
      <c r="E12" s="518"/>
      <c r="F12" s="518"/>
      <c r="G12" s="518"/>
      <c r="H12" s="518"/>
      <c r="I12" s="518"/>
    </row>
    <row r="13" spans="1:9" ht="26.25" customHeight="1">
      <c r="A13" s="291" t="s">
        <v>1882</v>
      </c>
      <c r="B13" s="519" t="s">
        <v>2008</v>
      </c>
      <c r="C13" s="520"/>
      <c r="D13" s="292" t="s">
        <v>2009</v>
      </c>
      <c r="E13" s="519" t="s">
        <v>2010</v>
      </c>
      <c r="F13" s="520"/>
      <c r="G13" s="292" t="s">
        <v>2011</v>
      </c>
      <c r="H13" s="519" t="s">
        <v>2012</v>
      </c>
      <c r="I13" s="520"/>
    </row>
    <row r="14" spans="1:9" ht="15" customHeight="1">
      <c r="A14" s="293" t="s">
        <v>241</v>
      </c>
      <c r="B14" s="294" t="s">
        <v>2013</v>
      </c>
      <c r="C14" s="295">
        <f>SUM('SO 600 VO - rozpočet'!AB12:AB77)</f>
        <v>0</v>
      </c>
      <c r="D14" s="521" t="s">
        <v>2014</v>
      </c>
      <c r="E14" s="522"/>
      <c r="F14" s="295">
        <v>0</v>
      </c>
      <c r="G14" s="521" t="s">
        <v>183</v>
      </c>
      <c r="H14" s="522"/>
      <c r="I14" s="295">
        <v>0</v>
      </c>
    </row>
    <row r="15" spans="1:9" ht="15" customHeight="1">
      <c r="A15" s="296" t="s">
        <v>19</v>
      </c>
      <c r="B15" s="294" t="s">
        <v>2015</v>
      </c>
      <c r="C15" s="295">
        <f>SUM('SO 600 VO - rozpočet'!AC12:AC77)</f>
        <v>0</v>
      </c>
      <c r="D15" s="521" t="s">
        <v>2016</v>
      </c>
      <c r="E15" s="522"/>
      <c r="F15" s="295">
        <v>0</v>
      </c>
      <c r="G15" s="521" t="s">
        <v>2017</v>
      </c>
      <c r="H15" s="522"/>
      <c r="I15" s="295">
        <v>0</v>
      </c>
    </row>
    <row r="16" spans="1:9" ht="15" customHeight="1">
      <c r="A16" s="293" t="s">
        <v>937</v>
      </c>
      <c r="B16" s="294" t="s">
        <v>2013</v>
      </c>
      <c r="C16" s="295">
        <f>SUM('SO 600 VO - rozpočet'!AD12:AD77)</f>
        <v>0</v>
      </c>
      <c r="D16" s="521" t="s">
        <v>2018</v>
      </c>
      <c r="E16" s="522"/>
      <c r="F16" s="295">
        <v>0</v>
      </c>
      <c r="G16" s="521" t="s">
        <v>2019</v>
      </c>
      <c r="H16" s="522"/>
      <c r="I16" s="295">
        <v>0</v>
      </c>
    </row>
    <row r="17" spans="1:9" ht="15" customHeight="1">
      <c r="A17" s="296" t="s">
        <v>19</v>
      </c>
      <c r="B17" s="294" t="s">
        <v>2015</v>
      </c>
      <c r="C17" s="295">
        <f>SUM('SO 600 VO - rozpočet'!AE12:AE77)</f>
        <v>0</v>
      </c>
      <c r="D17" s="521" t="s">
        <v>19</v>
      </c>
      <c r="E17" s="522"/>
      <c r="F17" s="297" t="s">
        <v>19</v>
      </c>
      <c r="G17" s="521" t="s">
        <v>2020</v>
      </c>
      <c r="H17" s="522"/>
      <c r="I17" s="295">
        <v>0</v>
      </c>
    </row>
    <row r="18" spans="1:9" ht="15" customHeight="1">
      <c r="A18" s="293" t="s">
        <v>2021</v>
      </c>
      <c r="B18" s="294" t="s">
        <v>2013</v>
      </c>
      <c r="C18" s="295">
        <f>SUM('SO 600 VO - rozpočet'!AF12:AF77)</f>
        <v>0</v>
      </c>
      <c r="D18" s="521" t="s">
        <v>19</v>
      </c>
      <c r="E18" s="522"/>
      <c r="F18" s="297" t="s">
        <v>19</v>
      </c>
      <c r="G18" s="521" t="s">
        <v>1829</v>
      </c>
      <c r="H18" s="522"/>
      <c r="I18" s="295">
        <v>0</v>
      </c>
    </row>
    <row r="19" spans="1:9" ht="15" customHeight="1">
      <c r="A19" s="296" t="s">
        <v>19</v>
      </c>
      <c r="B19" s="294" t="s">
        <v>2015</v>
      </c>
      <c r="C19" s="295">
        <f>SUM('SO 600 VO - rozpočet'!AG12:AG77)</f>
        <v>0</v>
      </c>
      <c r="D19" s="521" t="s">
        <v>19</v>
      </c>
      <c r="E19" s="522"/>
      <c r="F19" s="297" t="s">
        <v>19</v>
      </c>
      <c r="G19" s="521" t="s">
        <v>2022</v>
      </c>
      <c r="H19" s="522"/>
      <c r="I19" s="295">
        <v>0</v>
      </c>
    </row>
    <row r="20" spans="1:9" ht="15" customHeight="1">
      <c r="A20" s="523" t="s">
        <v>2023</v>
      </c>
      <c r="B20" s="524"/>
      <c r="C20" s="295">
        <f>SUM('SO 600 VO - rozpočet'!AH12:AH77)</f>
        <v>0</v>
      </c>
      <c r="D20" s="521" t="s">
        <v>19</v>
      </c>
      <c r="E20" s="522"/>
      <c r="F20" s="297" t="s">
        <v>19</v>
      </c>
      <c r="G20" s="521" t="s">
        <v>19</v>
      </c>
      <c r="H20" s="522"/>
      <c r="I20" s="297" t="s">
        <v>19</v>
      </c>
    </row>
    <row r="21" spans="1:9" ht="15" customHeight="1">
      <c r="A21" s="528" t="s">
        <v>2024</v>
      </c>
      <c r="B21" s="529"/>
      <c r="C21" s="298">
        <f>SUM('SO 600 VO - rozpočet'!Z12:Z77)</f>
        <v>0</v>
      </c>
      <c r="D21" s="530" t="s">
        <v>19</v>
      </c>
      <c r="E21" s="531"/>
      <c r="F21" s="299" t="s">
        <v>19</v>
      </c>
      <c r="G21" s="530" t="s">
        <v>19</v>
      </c>
      <c r="H21" s="531"/>
      <c r="I21" s="299" t="s">
        <v>19</v>
      </c>
    </row>
    <row r="22" spans="1:9" ht="16.5" customHeight="1">
      <c r="A22" s="532" t="s">
        <v>2025</v>
      </c>
      <c r="B22" s="533"/>
      <c r="C22" s="300">
        <f>SUM(C14:C21)</f>
        <v>0</v>
      </c>
      <c r="D22" s="534" t="s">
        <v>2026</v>
      </c>
      <c r="E22" s="533"/>
      <c r="F22" s="300">
        <f>SUM(F14:F21)</f>
        <v>0</v>
      </c>
      <c r="G22" s="534" t="s">
        <v>2027</v>
      </c>
      <c r="H22" s="533"/>
      <c r="I22" s="300">
        <f>SUM(I14:I21)</f>
        <v>0</v>
      </c>
    </row>
    <row r="23" spans="4:9" ht="15" customHeight="1" thickBot="1">
      <c r="D23" s="523" t="s">
        <v>2028</v>
      </c>
      <c r="E23" s="524"/>
      <c r="F23" s="301">
        <v>0</v>
      </c>
      <c r="G23" s="535" t="s">
        <v>2029</v>
      </c>
      <c r="H23" s="524"/>
      <c r="I23" s="295">
        <v>0</v>
      </c>
    </row>
    <row r="24" spans="7:9" ht="15" customHeight="1">
      <c r="G24" s="523" t="s">
        <v>2030</v>
      </c>
      <c r="H24" s="524"/>
      <c r="I24" s="295">
        <v>0</v>
      </c>
    </row>
    <row r="25" spans="7:9" ht="15" customHeight="1">
      <c r="G25" s="523" t="s">
        <v>2031</v>
      </c>
      <c r="H25" s="524"/>
      <c r="I25" s="295">
        <v>0</v>
      </c>
    </row>
    <row r="26" ht="15" customHeight="1">
      <c r="H26" s="285">
        <v>0</v>
      </c>
    </row>
    <row r="27" spans="1:3" ht="15" customHeight="1">
      <c r="A27" s="536" t="s">
        <v>2032</v>
      </c>
      <c r="B27" s="527"/>
      <c r="C27" s="302">
        <f>SUM('SO 600 VO - rozpočet'!AJ12:AJ77)</f>
        <v>0</v>
      </c>
    </row>
    <row r="28" spans="1:9" ht="15" customHeight="1">
      <c r="A28" s="525" t="s">
        <v>2033</v>
      </c>
      <c r="B28" s="526"/>
      <c r="C28" s="303">
        <f>SUM('SO 600 VO - rozpočet'!AK12:AK77)</f>
        <v>0</v>
      </c>
      <c r="D28" s="527" t="s">
        <v>2034</v>
      </c>
      <c r="E28" s="527"/>
      <c r="F28" s="302">
        <f>ROUND(C28*(15/100),2)</f>
        <v>0</v>
      </c>
      <c r="G28" s="527" t="s">
        <v>2035</v>
      </c>
      <c r="H28" s="527"/>
      <c r="I28" s="302">
        <f>SUM(C27:C29)</f>
        <v>0</v>
      </c>
    </row>
    <row r="29" spans="1:9" ht="15" customHeight="1">
      <c r="A29" s="525" t="s">
        <v>2036</v>
      </c>
      <c r="B29" s="526"/>
      <c r="C29" s="303">
        <f>SUM('SO 600 VO - rozpočet'!AL12:AL77)+(F22+I22+F23+I23+I24+I25)</f>
        <v>0</v>
      </c>
      <c r="D29" s="526" t="s">
        <v>2037</v>
      </c>
      <c r="E29" s="526"/>
      <c r="F29" s="303">
        <f>ROUND(C29*(21/100),2)</f>
        <v>0</v>
      </c>
      <c r="G29" s="526" t="s">
        <v>2038</v>
      </c>
      <c r="H29" s="526"/>
      <c r="I29" s="303">
        <f>SUM(F28:F29)+I28</f>
        <v>0</v>
      </c>
    </row>
    <row r="31" spans="1:9" ht="15" customHeight="1">
      <c r="A31" s="537" t="s">
        <v>1909</v>
      </c>
      <c r="B31" s="538"/>
      <c r="C31" s="539"/>
      <c r="D31" s="538" t="s">
        <v>2039</v>
      </c>
      <c r="E31" s="538"/>
      <c r="F31" s="539"/>
      <c r="G31" s="538" t="s">
        <v>2040</v>
      </c>
      <c r="H31" s="538"/>
      <c r="I31" s="539"/>
    </row>
    <row r="32" spans="1:9" ht="15" customHeight="1">
      <c r="A32" s="540" t="s">
        <v>19</v>
      </c>
      <c r="B32" s="530"/>
      <c r="C32" s="541"/>
      <c r="D32" s="530" t="s">
        <v>19</v>
      </c>
      <c r="E32" s="530"/>
      <c r="F32" s="541"/>
      <c r="G32" s="530" t="s">
        <v>19</v>
      </c>
      <c r="H32" s="530"/>
      <c r="I32" s="541"/>
    </row>
    <row r="33" spans="1:9" ht="15" customHeight="1">
      <c r="A33" s="540" t="s">
        <v>19</v>
      </c>
      <c r="B33" s="530"/>
      <c r="C33" s="541"/>
      <c r="D33" s="530" t="s">
        <v>19</v>
      </c>
      <c r="E33" s="530"/>
      <c r="F33" s="541"/>
      <c r="G33" s="530" t="s">
        <v>19</v>
      </c>
      <c r="H33" s="530"/>
      <c r="I33" s="541"/>
    </row>
    <row r="34" spans="1:9" ht="15" customHeight="1">
      <c r="A34" s="540" t="s">
        <v>19</v>
      </c>
      <c r="B34" s="530"/>
      <c r="C34" s="541"/>
      <c r="D34" s="530" t="s">
        <v>19</v>
      </c>
      <c r="E34" s="530"/>
      <c r="F34" s="541"/>
      <c r="G34" s="530" t="s">
        <v>19</v>
      </c>
      <c r="H34" s="530"/>
      <c r="I34" s="541"/>
    </row>
    <row r="35" spans="1:9" ht="15" customHeight="1" thickBot="1">
      <c r="A35" s="542" t="s">
        <v>2041</v>
      </c>
      <c r="B35" s="543"/>
      <c r="C35" s="544"/>
      <c r="D35" s="543" t="s">
        <v>2041</v>
      </c>
      <c r="E35" s="543"/>
      <c r="F35" s="544"/>
      <c r="G35" s="543" t="s">
        <v>2041</v>
      </c>
      <c r="H35" s="543"/>
      <c r="I35" s="544"/>
    </row>
    <row r="36" ht="15" customHeight="1">
      <c r="A36" s="304" t="s">
        <v>40</v>
      </c>
    </row>
    <row r="37" spans="1:9" ht="12.75" customHeight="1">
      <c r="A37" s="512" t="s">
        <v>19</v>
      </c>
      <c r="B37" s="504"/>
      <c r="C37" s="504"/>
      <c r="D37" s="504"/>
      <c r="E37" s="504"/>
      <c r="F37" s="504"/>
      <c r="G37" s="504"/>
      <c r="H37" s="504"/>
      <c r="I37" s="504"/>
    </row>
  </sheetData>
  <sheetProtection algorithmName="SHA-512" hashValue="Lzam008gXqMJI0nVugwohg1KJvYvsMd9Oxc2u1gqtA1qPy1/nNyYN9sLcZ1eEa41AWrMYcvNfNEV5JF8hfkPHw==" saltValue="Rla2/suHYCu8M+bWn0wusg==" spinCount="100000" sheet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DESKTOP-C6CPN96\RZavadil</dc:creator>
  <cp:keywords/>
  <dc:description/>
  <cp:lastModifiedBy>Zatloukalová Eva, Ing.</cp:lastModifiedBy>
  <dcterms:created xsi:type="dcterms:W3CDTF">2022-11-25T07:07:08Z</dcterms:created>
  <dcterms:modified xsi:type="dcterms:W3CDTF">2022-11-25T12:34:20Z</dcterms:modified>
  <cp:category/>
  <cp:version/>
  <cp:contentType/>
  <cp:contentStatus/>
</cp:coreProperties>
</file>